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Vannor\Documents\County\Citizensguide\2017-18\"/>
    </mc:Choice>
  </mc:AlternateContent>
  <bookViews>
    <workbookView xWindow="0" yWindow="0" windowWidth="25200" windowHeight="12588" tabRatio="683" firstSheet="4" activeTab="4"/>
  </bookViews>
  <sheets>
    <sheet name="Instructions" sheetId="8" state="hidden" r:id="rId1"/>
    <sheet name="Data Input" sheetId="2" state="hidden" r:id="rId2"/>
    <sheet name="F-65 Cross-walk" sheetId="9" state="hidden" r:id="rId3"/>
    <sheet name="F-65 Extract" sheetId="11" state="hidden" r:id="rId4"/>
    <sheet name="Revenues" sheetId="3" r:id="rId5"/>
    <sheet name="Expenditures" sheetId="4" r:id="rId6"/>
    <sheet name="Position" sheetId="5" r:id="rId7"/>
    <sheet name="Obligations" sheetId="6" r:id="rId8"/>
  </sheets>
  <definedNames>
    <definedName name="Citizens_Guide_Instructions" localSheetId="0">Instructions!$A$1:$AV$10</definedName>
    <definedName name="OLE_LINK1" localSheetId="0">Instructions!$A$1</definedName>
    <definedName name="OLE_LINK2" localSheetId="0">Instructions!$A$31</definedName>
    <definedName name="_xlnm.Print_Area" localSheetId="1">'Data Input'!$A$1:$J$81</definedName>
    <definedName name="_xlnm.Print_Area" localSheetId="5">Expenditures!$A$1:$J$41</definedName>
    <definedName name="_xlnm.Print_Area" localSheetId="2">'F-65 Cross-walk'!$A$1:$H$136</definedName>
    <definedName name="_xlnm.Print_Area" localSheetId="0">Instructions!$A$1:$L$93</definedName>
    <definedName name="_xlnm.Print_Area" localSheetId="7">Obligations!A1:P38</definedName>
    <definedName name="_xlnm.Print_Area" localSheetId="6">Position!$A$1:$J$41</definedName>
    <definedName name="_xlnm.Print_Area" localSheetId="4">Revenues!$A$1:$J$41</definedName>
    <definedName name="_xlnm.Print_Titles" localSheetId="1">'Data Input'!$1:$5</definedName>
    <definedName name="_xlnm.Print_Titles" localSheetId="2">'F-65 Cross-walk'!$1:$1</definedName>
    <definedName name="_xlnm.Print_Titles" localSheetId="0">Instructions!$1:$2</definedName>
  </definedNames>
  <calcPr calcId="171027"/>
</workbook>
</file>

<file path=xl/calcChain.xml><?xml version="1.0" encoding="utf-8"?>
<calcChain xmlns="http://schemas.openxmlformats.org/spreadsheetml/2006/main">
  <c r="K74" i="2" l="1"/>
  <c r="K72" i="2"/>
  <c r="K67" i="2"/>
  <c r="K65" i="2"/>
  <c r="E65" i="2" l="1"/>
  <c r="D65" i="2"/>
  <c r="C65" i="2"/>
  <c r="J49" i="2" l="1"/>
  <c r="F65" i="2"/>
  <c r="H65" i="2"/>
  <c r="G65" i="2"/>
  <c r="C72" i="2"/>
  <c r="C66" i="2"/>
  <c r="H52" i="2"/>
  <c r="H46" i="2"/>
  <c r="G52" i="2"/>
  <c r="G46" i="2"/>
  <c r="H22" i="2"/>
  <c r="G40" i="2"/>
  <c r="G39" i="2"/>
  <c r="G38" i="2"/>
  <c r="G37" i="2"/>
  <c r="G36" i="2"/>
  <c r="H40" i="2"/>
  <c r="H39" i="2"/>
  <c r="H38" i="2"/>
  <c r="H37" i="2"/>
  <c r="H36" i="2"/>
  <c r="H31" i="2"/>
  <c r="H30" i="2"/>
  <c r="H29" i="2"/>
  <c r="H28" i="2"/>
  <c r="H27" i="2"/>
  <c r="H26" i="2"/>
  <c r="H21" i="2"/>
  <c r="H18" i="2"/>
  <c r="H17" i="2"/>
  <c r="H16" i="2"/>
  <c r="H15" i="2"/>
  <c r="H14" i="2"/>
  <c r="H13" i="2"/>
  <c r="H12" i="2"/>
  <c r="H11" i="2"/>
  <c r="H10" i="2"/>
  <c r="G31" i="2"/>
  <c r="G30" i="2"/>
  <c r="G29" i="2"/>
  <c r="G28" i="2"/>
  <c r="G27" i="2"/>
  <c r="G26" i="2"/>
  <c r="G22" i="2"/>
  <c r="G21" i="2"/>
  <c r="G18" i="2"/>
  <c r="G17" i="2"/>
  <c r="G16" i="2"/>
  <c r="G15" i="2"/>
  <c r="G14" i="2"/>
  <c r="G13" i="2"/>
  <c r="G12" i="2"/>
  <c r="G11" i="2"/>
  <c r="G10" i="2"/>
  <c r="F40" i="2"/>
  <c r="F39" i="2"/>
  <c r="F38" i="2"/>
  <c r="F37" i="2"/>
  <c r="F36" i="2"/>
  <c r="F31" i="2"/>
  <c r="F30" i="2"/>
  <c r="F29" i="2"/>
  <c r="F28" i="2"/>
  <c r="F27" i="2"/>
  <c r="F26" i="2"/>
  <c r="F22" i="2"/>
  <c r="F21" i="2"/>
  <c r="F18" i="2"/>
  <c r="F17" i="2"/>
  <c r="F16" i="2"/>
  <c r="F15" i="2"/>
  <c r="F14" i="2"/>
  <c r="F13" i="2"/>
  <c r="F12" i="2"/>
  <c r="F11" i="2"/>
  <c r="F10" i="2"/>
  <c r="E40" i="2"/>
  <c r="E39" i="2"/>
  <c r="E38" i="2"/>
  <c r="E37" i="2"/>
  <c r="E36" i="2"/>
  <c r="E31" i="2"/>
  <c r="E30" i="2"/>
  <c r="E29" i="2"/>
  <c r="E28" i="2"/>
  <c r="E27" i="2"/>
  <c r="E26" i="2"/>
  <c r="E22" i="2"/>
  <c r="E21" i="2"/>
  <c r="E18" i="2"/>
  <c r="E17" i="2"/>
  <c r="E16" i="2"/>
  <c r="E15" i="2"/>
  <c r="E14" i="2"/>
  <c r="E13" i="2" l="1"/>
  <c r="E12" i="2"/>
  <c r="E11" i="2"/>
  <c r="E10" i="2"/>
  <c r="D40" i="2"/>
  <c r="D39" i="2"/>
  <c r="D38" i="2"/>
  <c r="D37" i="2"/>
  <c r="D36" i="2"/>
  <c r="D31" i="2"/>
  <c r="D30" i="2"/>
  <c r="D29" i="2"/>
  <c r="D28" i="2"/>
  <c r="D27" i="2"/>
  <c r="D26" i="2"/>
  <c r="D22" i="2"/>
  <c r="D21" i="2"/>
  <c r="D18" i="2"/>
  <c r="D17" i="2"/>
  <c r="D16" i="2"/>
  <c r="D15" i="2"/>
  <c r="D14" i="2"/>
  <c r="D13" i="2"/>
  <c r="D12" i="2"/>
  <c r="D11" i="2"/>
  <c r="D10" i="2"/>
  <c r="C40" i="2"/>
  <c r="C39" i="2"/>
  <c r="C38" i="2"/>
  <c r="C37" i="2"/>
  <c r="C36" i="2"/>
  <c r="C31" i="2"/>
  <c r="C30" i="2"/>
  <c r="C29" i="2"/>
  <c r="C28" i="2"/>
  <c r="C27" i="2"/>
  <c r="C26" i="2"/>
  <c r="C22" i="2"/>
  <c r="C21" i="2"/>
  <c r="C18" i="2"/>
  <c r="C17" i="2"/>
  <c r="C16" i="2"/>
  <c r="C15" i="2"/>
  <c r="C14" i="2"/>
  <c r="C13" i="2"/>
  <c r="C12" i="2"/>
  <c r="C11" i="2"/>
  <c r="C10" i="2"/>
  <c r="J2" i="11" l="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D135" i="9"/>
  <c r="E135" i="9"/>
  <c r="F135" i="9"/>
  <c r="G135" i="9"/>
  <c r="H135" i="9"/>
  <c r="I135" i="9"/>
  <c r="J135" i="9"/>
  <c r="J4" i="9"/>
  <c r="J76" i="9"/>
  <c r="J148" i="9" s="1"/>
  <c r="J145" i="9"/>
  <c r="J146" i="9" s="1"/>
  <c r="J144" i="9"/>
  <c r="J127" i="9"/>
  <c r="J149" i="9" s="1"/>
  <c r="J150" i="9" l="1"/>
  <c r="H8" i="5" l="1"/>
  <c r="H3" i="5"/>
  <c r="G8" i="5"/>
  <c r="G3" i="5"/>
  <c r="H58" i="2"/>
  <c r="D52" i="2"/>
  <c r="E52" i="2" s="1"/>
  <c r="F52" i="2" s="1"/>
  <c r="D46" i="2"/>
  <c r="E46" i="2" s="1"/>
  <c r="F46" i="2" s="1"/>
  <c r="I145" i="9"/>
  <c r="I144" i="9"/>
  <c r="I146" i="9" s="1"/>
  <c r="H146" i="9"/>
  <c r="G146" i="9"/>
  <c r="F146" i="9"/>
  <c r="E146" i="9"/>
  <c r="D146" i="9"/>
  <c r="H145" i="9"/>
  <c r="G145" i="9"/>
  <c r="F145" i="9"/>
  <c r="E145" i="9"/>
  <c r="D145" i="9"/>
  <c r="H144" i="9"/>
  <c r="G144" i="9"/>
  <c r="F144" i="9"/>
  <c r="E144" i="9"/>
  <c r="D144" i="9"/>
  <c r="I130" i="9"/>
  <c r="I125" i="9"/>
  <c r="I123" i="9"/>
  <c r="I87" i="9"/>
  <c r="I75" i="9"/>
  <c r="I70" i="9"/>
  <c r="I69" i="9"/>
  <c r="I67" i="9"/>
  <c r="I66" i="9"/>
  <c r="I65" i="9"/>
  <c r="I60" i="9"/>
  <c r="I40" i="9"/>
  <c r="I34" i="9"/>
  <c r="I76" i="9" s="1"/>
  <c r="I12" i="9"/>
  <c r="I9" i="9"/>
  <c r="I4" i="9"/>
  <c r="H12" i="9"/>
  <c r="G12" i="9"/>
  <c r="F12" i="9"/>
  <c r="E12" i="9"/>
  <c r="D12" i="9"/>
  <c r="F11" i="9"/>
  <c r="E11" i="9"/>
  <c r="D11" i="9"/>
  <c r="H9" i="9"/>
  <c r="G9" i="9"/>
  <c r="F9" i="9"/>
  <c r="E9" i="9"/>
  <c r="D9" i="9"/>
  <c r="D76" i="9" s="1"/>
  <c r="H4" i="9"/>
  <c r="G4" i="9"/>
  <c r="G76" i="9" s="1"/>
  <c r="F4" i="9"/>
  <c r="E4" i="9"/>
  <c r="D4" i="9"/>
  <c r="E133" i="9"/>
  <c r="H130" i="9"/>
  <c r="E130" i="9"/>
  <c r="H127" i="9"/>
  <c r="G127" i="9"/>
  <c r="F127" i="9"/>
  <c r="E127" i="9"/>
  <c r="D127" i="9"/>
  <c r="H125" i="9"/>
  <c r="H87" i="9"/>
  <c r="F76" i="9"/>
  <c r="H72" i="9"/>
  <c r="H70" i="9"/>
  <c r="H69" i="9"/>
  <c r="H67" i="9"/>
  <c r="H66" i="9"/>
  <c r="H65" i="9"/>
  <c r="H60" i="9"/>
  <c r="H76" i="9" l="1"/>
  <c r="E76" i="9"/>
  <c r="H148" i="9"/>
  <c r="H3" i="4" l="1"/>
  <c r="G3" i="4"/>
  <c r="H68" i="2"/>
  <c r="H73" i="2" s="1"/>
  <c r="J73" i="2" s="1"/>
  <c r="H59" i="2" l="1"/>
  <c r="H60" i="2" s="1"/>
  <c r="H55" i="2"/>
  <c r="H49" i="2"/>
  <c r="H86" i="2" l="1"/>
  <c r="H61" i="2"/>
  <c r="H56" i="2"/>
  <c r="H50" i="2"/>
  <c r="J72" i="2"/>
  <c r="J71" i="2"/>
  <c r="J70" i="2"/>
  <c r="J69" i="2"/>
  <c r="J68" i="2"/>
  <c r="J60" i="2"/>
  <c r="J55" i="2"/>
  <c r="I72" i="2"/>
  <c r="I71" i="2"/>
  <c r="I70" i="2"/>
  <c r="I69" i="2"/>
  <c r="H13" i="5"/>
  <c r="H12" i="5"/>
  <c r="H11" i="5"/>
  <c r="J37" i="2"/>
  <c r="H9" i="5"/>
  <c r="J5" i="2"/>
  <c r="H3" i="3" s="1"/>
  <c r="I5" i="2"/>
  <c r="H14" i="4"/>
  <c r="H13" i="4"/>
  <c r="H12" i="4"/>
  <c r="H11" i="4"/>
  <c r="H10" i="4"/>
  <c r="H9" i="4"/>
  <c r="H25" i="2"/>
  <c r="H8" i="4" s="1"/>
  <c r="H24" i="2"/>
  <c r="H23" i="2"/>
  <c r="H6" i="4" s="1"/>
  <c r="H5" i="4"/>
  <c r="H4" i="4"/>
  <c r="H12" i="3"/>
  <c r="H11" i="3"/>
  <c r="H10" i="3"/>
  <c r="H9" i="3"/>
  <c r="H8" i="3"/>
  <c r="H7" i="3"/>
  <c r="H6" i="3"/>
  <c r="G3" i="3"/>
  <c r="I127" i="9"/>
  <c r="I150" i="9"/>
  <c r="H4" i="3" l="1"/>
  <c r="H87" i="2"/>
  <c r="J17" i="2"/>
  <c r="J14" i="2"/>
  <c r="J10" i="2"/>
  <c r="J18" i="2"/>
  <c r="J13" i="2"/>
  <c r="H19" i="2"/>
  <c r="H5" i="3"/>
  <c r="J11" i="2"/>
  <c r="J15" i="2"/>
  <c r="J12" i="2"/>
  <c r="J16" i="2"/>
  <c r="J26" i="2"/>
  <c r="J27" i="2"/>
  <c r="J38" i="2"/>
  <c r="J39" i="2"/>
  <c r="J22" i="2"/>
  <c r="J30" i="2"/>
  <c r="J23" i="2"/>
  <c r="J31" i="2"/>
  <c r="H32" i="2"/>
  <c r="H7" i="4"/>
  <c r="H41" i="2"/>
  <c r="H10" i="5"/>
  <c r="J24" i="2"/>
  <c r="J28" i="2"/>
  <c r="H89" i="2"/>
  <c r="J21" i="2"/>
  <c r="J25" i="2"/>
  <c r="J29" i="2"/>
  <c r="J36" i="2"/>
  <c r="J40" i="2"/>
  <c r="I149" i="9"/>
  <c r="I148" i="9"/>
  <c r="F8" i="3"/>
  <c r="J41" i="2" l="1"/>
  <c r="H4" i="5"/>
  <c r="J19" i="2"/>
  <c r="H33" i="2"/>
  <c r="H5" i="5"/>
  <c r="J32" i="2"/>
  <c r="H6" i="5" l="1"/>
  <c r="J33" i="2"/>
  <c r="C50" i="2"/>
  <c r="G150" i="9" l="1"/>
  <c r="H150" i="9"/>
  <c r="D150" i="9"/>
  <c r="E148" i="9"/>
  <c r="F148" i="9"/>
  <c r="G148" i="9"/>
  <c r="E149" i="9"/>
  <c r="F149" i="9"/>
  <c r="G149" i="9"/>
  <c r="H149" i="9"/>
  <c r="D149" i="9"/>
  <c r="D148" i="9"/>
  <c r="M76" i="9"/>
  <c r="F150" i="9" l="1"/>
  <c r="E150" i="9"/>
  <c r="C25" i="2" l="1"/>
  <c r="C24" i="2"/>
  <c r="C23" i="2"/>
  <c r="D25" i="2"/>
  <c r="D24" i="2"/>
  <c r="D23" i="2"/>
  <c r="E25" i="2"/>
  <c r="E24" i="2"/>
  <c r="E23" i="2"/>
  <c r="F25" i="2"/>
  <c r="F24" i="2"/>
  <c r="F23" i="2"/>
  <c r="G23" i="2"/>
  <c r="G24" i="2"/>
  <c r="G25" i="2"/>
  <c r="G8" i="4" l="1"/>
  <c r="I25" i="2"/>
  <c r="G10" i="3"/>
  <c r="I16" i="2"/>
  <c r="G7" i="4"/>
  <c r="I24" i="2"/>
  <c r="G9" i="5"/>
  <c r="I36" i="2"/>
  <c r="G14" i="4"/>
  <c r="I31" i="2"/>
  <c r="G8" i="3"/>
  <c r="I14" i="2"/>
  <c r="G13" i="4"/>
  <c r="I30" i="2"/>
  <c r="G6" i="4"/>
  <c r="I23" i="2"/>
  <c r="G4" i="3"/>
  <c r="I10" i="2"/>
  <c r="G87" i="2"/>
  <c r="G12" i="3"/>
  <c r="I18" i="2"/>
  <c r="G9" i="4"/>
  <c r="I26" i="2"/>
  <c r="G13" i="5"/>
  <c r="I40" i="2"/>
  <c r="G10" i="5"/>
  <c r="I37" i="2"/>
  <c r="G5" i="3"/>
  <c r="I11" i="2"/>
  <c r="G4" i="4"/>
  <c r="I21" i="2"/>
  <c r="G11" i="4"/>
  <c r="I28" i="2"/>
  <c r="G11" i="3"/>
  <c r="I17" i="2"/>
  <c r="G12" i="5"/>
  <c r="I39" i="2"/>
  <c r="G11" i="5" l="1"/>
  <c r="I38" i="2"/>
  <c r="G9" i="3"/>
  <c r="I9" i="3" s="1"/>
  <c r="I15" i="2"/>
  <c r="G12" i="4"/>
  <c r="I29" i="2"/>
  <c r="G5" i="4"/>
  <c r="I22" i="2"/>
  <c r="G10" i="4"/>
  <c r="I27" i="2"/>
  <c r="G6" i="3"/>
  <c r="I12" i="2"/>
  <c r="G7" i="3"/>
  <c r="I13" i="2"/>
  <c r="A1" i="6"/>
  <c r="A1" i="5"/>
  <c r="A1" i="4"/>
  <c r="A1" i="3"/>
  <c r="D32" i="2"/>
  <c r="E32" i="2"/>
  <c r="F32" i="2"/>
  <c r="G32" i="2"/>
  <c r="C32" i="2"/>
  <c r="D19" i="2"/>
  <c r="E19" i="2"/>
  <c r="F19" i="2"/>
  <c r="G19" i="2"/>
  <c r="C19" i="2"/>
  <c r="F5" i="4"/>
  <c r="F6" i="4"/>
  <c r="F7" i="4"/>
  <c r="F8" i="4"/>
  <c r="F9" i="4"/>
  <c r="F10" i="4"/>
  <c r="F11" i="4"/>
  <c r="F12" i="4"/>
  <c r="F13" i="4"/>
  <c r="F14" i="4"/>
  <c r="F4" i="4"/>
  <c r="B89" i="2"/>
  <c r="B87" i="2"/>
  <c r="F5" i="3"/>
  <c r="F6" i="3"/>
  <c r="F7" i="3"/>
  <c r="F9" i="3"/>
  <c r="F10" i="3"/>
  <c r="F11" i="3"/>
  <c r="F12" i="3"/>
  <c r="F4" i="3"/>
  <c r="I7" i="4"/>
  <c r="I8" i="4"/>
  <c r="D89" i="2"/>
  <c r="E89" i="2"/>
  <c r="G89" i="2"/>
  <c r="C89" i="2"/>
  <c r="I6" i="3"/>
  <c r="D87" i="2"/>
  <c r="C87" i="2"/>
  <c r="C49" i="2"/>
  <c r="D49" i="2"/>
  <c r="E49" i="2"/>
  <c r="F49" i="2"/>
  <c r="I49" i="2" s="1"/>
  <c r="G49" i="2"/>
  <c r="D50" i="2"/>
  <c r="E50" i="2"/>
  <c r="F50" i="2"/>
  <c r="G50" i="2"/>
  <c r="C55" i="2"/>
  <c r="D55" i="2"/>
  <c r="E55" i="2"/>
  <c r="F55" i="2"/>
  <c r="G55" i="2"/>
  <c r="I55" i="2" s="1"/>
  <c r="C56" i="2"/>
  <c r="D56" i="2"/>
  <c r="E56" i="2"/>
  <c r="F56" i="2"/>
  <c r="G56" i="2"/>
  <c r="C58" i="2"/>
  <c r="D58" i="2"/>
  <c r="E58" i="2"/>
  <c r="F58" i="2"/>
  <c r="G58" i="2"/>
  <c r="C59" i="2"/>
  <c r="D59" i="2"/>
  <c r="E59" i="2"/>
  <c r="F59" i="2"/>
  <c r="F60" i="2" s="1"/>
  <c r="G59" i="2"/>
  <c r="C68" i="2"/>
  <c r="C73" i="2" s="1"/>
  <c r="D68" i="2"/>
  <c r="D73" i="2" s="1"/>
  <c r="E68" i="2"/>
  <c r="E73" i="2" s="1"/>
  <c r="F68" i="2"/>
  <c r="G68" i="2"/>
  <c r="I68" i="2" s="1"/>
  <c r="C86" i="2"/>
  <c r="D86" i="2"/>
  <c r="E86" i="2"/>
  <c r="F86" i="2"/>
  <c r="G86" i="2"/>
  <c r="A41" i="3"/>
  <c r="A41" i="4"/>
  <c r="A41" i="5"/>
  <c r="A38" i="6"/>
  <c r="F41" i="2"/>
  <c r="F87" i="2"/>
  <c r="G41" i="2"/>
  <c r="C41" i="2"/>
  <c r="D41" i="2"/>
  <c r="E87" i="2"/>
  <c r="F89" i="2"/>
  <c r="E41" i="2"/>
  <c r="I41" i="2" l="1"/>
  <c r="C60" i="2"/>
  <c r="D61" i="2"/>
  <c r="E60" i="2"/>
  <c r="G5" i="5"/>
  <c r="I5" i="5" s="1"/>
  <c r="I32" i="2"/>
  <c r="G4" i="5"/>
  <c r="I4" i="5" s="1"/>
  <c r="I19" i="2"/>
  <c r="G73" i="2"/>
  <c r="I73" i="2" s="1"/>
  <c r="G60" i="2"/>
  <c r="I60" i="2" s="1"/>
  <c r="G61" i="2"/>
  <c r="D60" i="2"/>
  <c r="C61" i="2"/>
  <c r="F61" i="2"/>
  <c r="E61" i="2"/>
  <c r="I12" i="4"/>
  <c r="I9" i="5"/>
  <c r="I12" i="5"/>
  <c r="I10" i="5"/>
  <c r="F73" i="2"/>
  <c r="I9" i="4"/>
  <c r="I4" i="4"/>
  <c r="I13" i="4"/>
  <c r="I13" i="5"/>
  <c r="E33" i="2"/>
  <c r="I14" i="4"/>
  <c r="I5" i="3"/>
  <c r="C33" i="2"/>
  <c r="I11" i="4"/>
  <c r="I5" i="4"/>
  <c r="I10" i="4"/>
  <c r="H14" i="5"/>
  <c r="I11" i="3"/>
  <c r="I7" i="3"/>
  <c r="I12" i="3"/>
  <c r="I10" i="3"/>
  <c r="I8" i="3"/>
  <c r="D33" i="2"/>
  <c r="F33" i="2"/>
  <c r="G13" i="3"/>
  <c r="G14" i="5"/>
  <c r="I11" i="5"/>
  <c r="G15" i="4"/>
  <c r="H15" i="4"/>
  <c r="I6" i="4"/>
  <c r="I4" i="3"/>
  <c r="H13" i="3"/>
  <c r="G33" i="2"/>
  <c r="G6" i="5" l="1"/>
  <c r="I33" i="2"/>
  <c r="I14" i="5"/>
  <c r="I13" i="3"/>
  <c r="I15" i="4"/>
  <c r="I6" i="5" l="1"/>
</calcChain>
</file>

<file path=xl/sharedStrings.xml><?xml version="1.0" encoding="utf-8"?>
<sst xmlns="http://schemas.openxmlformats.org/spreadsheetml/2006/main" count="836" uniqueCount="481">
  <si>
    <t>Per capita information</t>
  </si>
  <si>
    <t>Nonspendable</t>
  </si>
  <si>
    <t>Unfunded (Overfunded)</t>
  </si>
  <si>
    <t>1. Pension funding status</t>
  </si>
  <si>
    <t>Graph data, pulled from above data:</t>
  </si>
  <si>
    <t>Expenditures</t>
  </si>
  <si>
    <t>OTHER LONG TERM OBLIGATIONS</t>
  </si>
  <si>
    <t>1. How have we managed our governmental fund resources (fund balance)?</t>
  </si>
  <si>
    <t xml:space="preserve">4. Historical trends of individual components </t>
  </si>
  <si>
    <t>4. Historical trends of individual departments:</t>
  </si>
  <si>
    <t>Assets</t>
  </si>
  <si>
    <t>Unassigned</t>
  </si>
  <si>
    <t>Revenue:</t>
  </si>
  <si>
    <t>Liabilities not counted on a modified-accrual basis</t>
  </si>
  <si>
    <t>Unfunded</t>
  </si>
  <si>
    <t>Contact Phone Number:</t>
  </si>
  <si>
    <t xml:space="preserve">2. Compared to the prior year </t>
  </si>
  <si>
    <t>Commentary:</t>
  </si>
  <si>
    <t xml:space="preserve">4. Historical trends of individual sources </t>
  </si>
  <si>
    <t>OPEB</t>
  </si>
  <si>
    <t>Committed</t>
  </si>
  <si>
    <t>Expenditures:</t>
  </si>
  <si>
    <t>2. Retiree Health care funding status</t>
  </si>
  <si>
    <t>Contact Name:</t>
  </si>
  <si>
    <t>3. Percent funded - compared to the prior year</t>
  </si>
  <si>
    <t>Assigned</t>
  </si>
  <si>
    <t>Percent funded</t>
  </si>
  <si>
    <t>3. Revenue sources per capita - compared to the prior year</t>
  </si>
  <si>
    <t>Surplus (shortfall)</t>
  </si>
  <si>
    <t>EXPENDITURES</t>
  </si>
  <si>
    <t>% change</t>
  </si>
  <si>
    <t>1. Where our money comes from (all governmental funds)</t>
  </si>
  <si>
    <t>Restricted</t>
  </si>
  <si>
    <t>Pensions</t>
  </si>
  <si>
    <t>REVENUES</t>
  </si>
  <si>
    <t>Actuarial Liability</t>
  </si>
  <si>
    <t>1. Where we spend our money (all governmental funds)</t>
  </si>
  <si>
    <t>Revenue</t>
  </si>
  <si>
    <t>Date of actuarial valuation:</t>
  </si>
  <si>
    <t xml:space="preserve">FINANCIAL POSITION </t>
  </si>
  <si>
    <t xml:space="preserve">Roads </t>
  </si>
  <si>
    <t>Taxes</t>
  </si>
  <si>
    <t>3. Spending per capita - compared to the prior year</t>
  </si>
  <si>
    <t>3. Fund balance per capita - compared to the prior year</t>
  </si>
  <si>
    <t>Licenses &amp; Permits</t>
  </si>
  <si>
    <t>Local Contributions</t>
  </si>
  <si>
    <t>Charges for Services</t>
  </si>
  <si>
    <t>Fines &amp; Forfeitures</t>
  </si>
  <si>
    <t>State Government</t>
  </si>
  <si>
    <t>Federal Government</t>
  </si>
  <si>
    <t>Interest &amp; Rents</t>
  </si>
  <si>
    <t>Other Revenues</t>
  </si>
  <si>
    <t>Total Revenues</t>
  </si>
  <si>
    <t>Revenues</t>
  </si>
  <si>
    <t>Other Expenditures</t>
  </si>
  <si>
    <t>Total Expenditures</t>
  </si>
  <si>
    <t>General Government</t>
  </si>
  <si>
    <t>Police &amp; Fire</t>
  </si>
  <si>
    <t>Other Public Safety</t>
  </si>
  <si>
    <t>Other Public Works</t>
  </si>
  <si>
    <t>Health &amp; Welfare</t>
  </si>
  <si>
    <t>Recreation &amp; Culture</t>
  </si>
  <si>
    <t>Capital Outlay</t>
  </si>
  <si>
    <t>Debt Service</t>
  </si>
  <si>
    <t>Surplus (Shortfall)</t>
  </si>
  <si>
    <t>Financial Position - All governmental funds</t>
  </si>
  <si>
    <t>Total Fund Balance</t>
  </si>
  <si>
    <t xml:space="preserve">   5. Debt &amp; other long term obligations per capita - compared to the prior year</t>
  </si>
  <si>
    <t>Bonds &amp; Contracts Payable</t>
  </si>
  <si>
    <t>Capital Leases</t>
  </si>
  <si>
    <t>Other Contractual Debt</t>
  </si>
  <si>
    <t>Structured Debt</t>
  </si>
  <si>
    <t>Employee Compensated Absences</t>
  </si>
  <si>
    <t>Landfill Closure &amp; Postclosure Care</t>
  </si>
  <si>
    <t>Uninsured Losses</t>
  </si>
  <si>
    <t>Other Claims &amp; Contingencies</t>
  </si>
  <si>
    <t>Sum of All Pension &amp; OPEB Plans</t>
  </si>
  <si>
    <t>Local Unit Name:</t>
  </si>
  <si>
    <t>Local Unit Code:</t>
  </si>
  <si>
    <t>INSTRUCTIONS FOR THE CITIZEN'S GUIDE SPREADSHEET</t>
  </si>
  <si>
    <t xml:space="preserve">The spreadsheet is organized by tabs.  The first tab to the right of the "Instructions" tab is titled </t>
  </si>
  <si>
    <t>Position</t>
  </si>
  <si>
    <t>Obligations</t>
  </si>
  <si>
    <t xml:space="preserve">To enter information in the "Data Input" tab, you will need to have copies of your financial </t>
  </si>
  <si>
    <t>statements, trial balances, or F-65 forms.  To use the spreadsheet:</t>
  </si>
  <si>
    <t>Rows 8 through 33 present the revenues and expenditures from all governmental funds.</t>
  </si>
  <si>
    <t xml:space="preserve">These rows should include the General Fund plus all special revenue, debt </t>
  </si>
  <si>
    <t>is the sum of columns (a) and (b)).</t>
  </si>
  <si>
    <t xml:space="preserve">If you have any revenue or expenditure categories that are not being used by </t>
  </si>
  <si>
    <t xml:space="preserve">your local unit, please "Hide" those rows on the "Data Input" tab.  This will </t>
  </si>
  <si>
    <t xml:space="preserve">remove them from the graphs so that the graphical presentation will be easier </t>
  </si>
  <si>
    <t xml:space="preserve">for the citizen to understand. </t>
  </si>
  <si>
    <t xml:space="preserve">If you have any financial position (fund balance) categories that are not being </t>
  </si>
  <si>
    <t xml:space="preserve">used by your local unit (i.e., you have no commitments or you have no </t>
  </si>
  <si>
    <t xml:space="preserve">assignments etc.), please "Hide" those rows on the "Data Input" tab.  This will </t>
  </si>
  <si>
    <t xml:space="preserve">remove them from the graphs.   The law does not require you to restate fund </t>
  </si>
  <si>
    <t xml:space="preserve">balances for years prior to the implementation of GASB 54.  It is optional, but </t>
  </si>
  <si>
    <t>encouraged.</t>
  </si>
  <si>
    <t xml:space="preserve">Rows 44 through 61 present the liabilities not counted on a modified-accrual basis. This </t>
  </si>
  <si>
    <t xml:space="preserve">represents the funded status of all "defined benefit" employee benefit plans (pension </t>
  </si>
  <si>
    <t xml:space="preserve">If you do not have any unfunded pensions or unfunded OPEB, please </t>
  </si>
  <si>
    <t>plans, retiree health care, or any other post-employment benefit (OPEB) plans).</t>
  </si>
  <si>
    <t xml:space="preserve">service, capital project, and permanent funds (if you are using the F-65 forms, this </t>
  </si>
  <si>
    <t>note that in the Commentary box on the "Obligations" tab.</t>
  </si>
  <si>
    <t xml:space="preserve">"Data Input" and is the tab where the majority of the information will be entered.  Each tab has a </t>
  </si>
  <si>
    <t>Commentary box where supplemental information can be added.  The next four tabs contain the</t>
  </si>
  <si>
    <t>Citizen's Guide and is organized as follows:</t>
  </si>
  <si>
    <t xml:space="preserve">Information for this section should be in the footnote disclosures of your </t>
  </si>
  <si>
    <t>annual financial statements; it is also available in your actuarial valuations.</t>
  </si>
  <si>
    <t xml:space="preserve">Rows 64 through 73 present the debt information. This represents all governmental </t>
  </si>
  <si>
    <t xml:space="preserve">liabilities not already reported in the funds themselves. </t>
  </si>
  <si>
    <t>the "Obligations" tab.</t>
  </si>
  <si>
    <t xml:space="preserve">If you do not have any debt, please note that in the Commentary box on </t>
  </si>
  <si>
    <t>Many local units do not have annual information related to the actuarial accrued</t>
  </si>
  <si>
    <t>liability (AAL) for retiree health care plans.  For those communities, we</t>
  </si>
  <si>
    <t>recommend estimating the information between valuations so that a fair picture</t>
  </si>
  <si>
    <t xml:space="preserve">can still be obtained.  For example:  if the 2007 AAL was $5 million and the </t>
  </si>
  <si>
    <t>2010 AAL was $8 million, you could estimate to $6 million for 2008 and</t>
  </si>
  <si>
    <t xml:space="preserve">$7 million for 2009. </t>
  </si>
  <si>
    <t xml:space="preserve">Information for this section generally can be found in the footnote disclosures </t>
  </si>
  <si>
    <t>of your financial statements.</t>
  </si>
  <si>
    <t xml:space="preserve">Row 75 presents population information. This section is presented so that you can </t>
  </si>
  <si>
    <t xml:space="preserve">compute measures on a per-capita basis, and will make it easier for comparisons with </t>
  </si>
  <si>
    <t xml:space="preserve">other local units in the future.  For 2010, the population count should agree with the U.S. </t>
  </si>
  <si>
    <t xml:space="preserve">census figures.  For all other years, estimates of population are generally available </t>
  </si>
  <si>
    <t xml:space="preserve">through your regional council of governments. </t>
  </si>
  <si>
    <t xml:space="preserve">Rows 85 through 89 are grayed out and should be ignored.  This section is necessary in </t>
  </si>
  <si>
    <t>order for the interactive revenue and expenditure charts to operate properly.</t>
  </si>
  <si>
    <t xml:space="preserve">On the "Revenues" and "Expenditures" tabs, box number 4 has been built as an interactive </t>
  </si>
  <si>
    <t xml:space="preserve">chart.  When this is put on your website, the user can choose any revenue (expenditure) from </t>
  </si>
  <si>
    <t>the drop-down list and see the historical trend for that particular revenue (expenditure).</t>
  </si>
  <si>
    <t xml:space="preserve">Before publishing the Citizen’s Guide to your website, we highly recommend you "Hide" </t>
  </si>
  <si>
    <t>the “Data Input” tab and the “Instructions” tab so that this document will be user-</t>
  </si>
  <si>
    <t>friendly.  To hide a tab (or row), right click on the tab (or row) and select "Hide".</t>
  </si>
  <si>
    <t xml:space="preserve">Make sure when you print or save this document to a PDF, you use the “Print Entire Workbook” </t>
  </si>
  <si>
    <t>option. Then the entire Citizen’s Guide will be in one document.</t>
  </si>
  <si>
    <t>Rows 78 and 79 enter the “Contact Information” in the yellow highlighted boxes.</t>
  </si>
  <si>
    <t>DATA INPUT PAGE FOR CITIZEN'S GUIDE TO LOCAL UNIT FINANCES</t>
  </si>
  <si>
    <t>Statement of Revenues &amp; Expenditures - All governmental funds</t>
  </si>
  <si>
    <t>Debt</t>
  </si>
  <si>
    <t>Population Information</t>
  </si>
  <si>
    <t>Contact Information</t>
  </si>
  <si>
    <t>Total Long Term Debt (Excluding Pension &amp; OPEB)</t>
  </si>
  <si>
    <t>Note: The years on a local unit's Citizen's Guide will be different than the years on the</t>
  </si>
  <si>
    <t>local unit's Projected Budget Report.</t>
  </si>
  <si>
    <t>2.</t>
  </si>
  <si>
    <t>1.</t>
  </si>
  <si>
    <t>3.</t>
  </si>
  <si>
    <t>4.</t>
  </si>
  <si>
    <t>5.</t>
  </si>
  <si>
    <t>6.</t>
  </si>
  <si>
    <t>7.</t>
  </si>
  <si>
    <t>8.</t>
  </si>
  <si>
    <t>a.</t>
  </si>
  <si>
    <t>b.</t>
  </si>
  <si>
    <t>c.</t>
  </si>
  <si>
    <t>boxes.</t>
  </si>
  <si>
    <t xml:space="preserve">Rows 2 and 3 enter your Local Unit Name and Local Unit Code in the yellow highlighted </t>
  </si>
  <si>
    <t>date.</t>
  </si>
  <si>
    <t xml:space="preserve">Rows 34 through 41 present the financial position (fund balance) as of the balance sheet </t>
  </si>
  <si>
    <t>F-65 line</t>
  </si>
  <si>
    <t>Description</t>
  </si>
  <si>
    <t>Aggregation</t>
  </si>
  <si>
    <t>All Governmental Funds (col. A &amp; b)</t>
  </si>
  <si>
    <t>Property taxes</t>
  </si>
  <si>
    <t>Tax reverted property</t>
  </si>
  <si>
    <t>Commercial facilities tax</t>
  </si>
  <si>
    <t>Trailer taxes</t>
  </si>
  <si>
    <t>Hotel/ motel tax</t>
  </si>
  <si>
    <t>Industrial facilities tax</t>
  </si>
  <si>
    <t>Income tax</t>
  </si>
  <si>
    <t>Business licenses &amp; permits</t>
  </si>
  <si>
    <t>Non-business licenses &amp; permits</t>
  </si>
  <si>
    <t>Federal govt. grants - general government</t>
  </si>
  <si>
    <t>Federal govt. grants - public safety</t>
  </si>
  <si>
    <t>Federal govt. grants - streets &amp; highways</t>
  </si>
  <si>
    <t>Federal govt. grants - sanitation</t>
  </si>
  <si>
    <t>Federal govt. grants - health and/or hospitals</t>
  </si>
  <si>
    <t>Federal govt. grants - welfare</t>
  </si>
  <si>
    <t>Federal govt. grants - culture &amp; recreation</t>
  </si>
  <si>
    <t>Federal govt. grants - housing &amp; community development</t>
  </si>
  <si>
    <t>Federal govt. grants - water</t>
  </si>
  <si>
    <t>Federal govt. grants - electric</t>
  </si>
  <si>
    <t>Federal govt. grants - transit</t>
  </si>
  <si>
    <t>Federal govt. grants - other</t>
  </si>
  <si>
    <t>State revenue sharing</t>
  </si>
  <si>
    <t>State aid - general government</t>
  </si>
  <si>
    <t>State payment in lieu of taxes</t>
  </si>
  <si>
    <t>State swamp and land taxes</t>
  </si>
  <si>
    <t>State aid - public safety</t>
  </si>
  <si>
    <t>State pass-thru of act 51(Streets)</t>
  </si>
  <si>
    <t>State aid - streets &amp; bridges</t>
  </si>
  <si>
    <t>State aid - sanitation</t>
  </si>
  <si>
    <t>State aid - health and/or hospitals</t>
  </si>
  <si>
    <t>State aid - welfare</t>
  </si>
  <si>
    <t>State aid - culture &amp; recreation</t>
  </si>
  <si>
    <t>State aid - housing &amp; community development</t>
  </si>
  <si>
    <t>State aid - water</t>
  </si>
  <si>
    <t>State aid - electric</t>
  </si>
  <si>
    <t>State aid - transit</t>
  </si>
  <si>
    <t>State aid - other</t>
  </si>
  <si>
    <t>Local donations - general government</t>
  </si>
  <si>
    <t>Local donations - public safety</t>
  </si>
  <si>
    <t>Local donations - streets &amp; highways</t>
  </si>
  <si>
    <t>Local donations - sanitation</t>
  </si>
  <si>
    <t>Local donations - health and/or hospitals</t>
  </si>
  <si>
    <t>Local donations - welfare</t>
  </si>
  <si>
    <t>Local donations - culture &amp; recreation</t>
  </si>
  <si>
    <t>Local donations - housing &amp; community development</t>
  </si>
  <si>
    <t xml:space="preserve">Local donations - Gas, water, electric </t>
  </si>
  <si>
    <t>Local donations - transit</t>
  </si>
  <si>
    <t>Local donations - other</t>
  </si>
  <si>
    <t>Court-ordered fees and charges</t>
  </si>
  <si>
    <t>Statutory court fees &amp; charges</t>
  </si>
  <si>
    <t>Clerk's office charges</t>
  </si>
  <si>
    <t>Election charges</t>
  </si>
  <si>
    <t>Register of Deeds fees</t>
  </si>
  <si>
    <t>All other statutory fees</t>
  </si>
  <si>
    <t>Fire run charges</t>
  </si>
  <si>
    <t>Police fees</t>
  </si>
  <si>
    <t>Other charges for services</t>
  </si>
  <si>
    <t>Parks and recreation fees</t>
  </si>
  <si>
    <t>Parking fees</t>
  </si>
  <si>
    <t>All other fees</t>
  </si>
  <si>
    <t>Fines, penalties &amp; forfeits</t>
  </si>
  <si>
    <t>Interest &amp; dividends</t>
  </si>
  <si>
    <t>Rents &amp; royalties</t>
  </si>
  <si>
    <t>Misc. other revenue</t>
  </si>
  <si>
    <t>Special assessments</t>
  </si>
  <si>
    <t>Sale of fixed assets</t>
  </si>
  <si>
    <t>Contributions</t>
  </si>
  <si>
    <t>Ambulance services</t>
  </si>
  <si>
    <t>Other  refunds &amp; rebates</t>
  </si>
  <si>
    <t>Debt issuance</t>
  </si>
  <si>
    <t>Extraordinary/ Special items</t>
  </si>
  <si>
    <t>Interfund transfers In</t>
  </si>
  <si>
    <t>Total revenue</t>
  </si>
  <si>
    <t>Legislative</t>
  </si>
  <si>
    <t>Judicial</t>
  </si>
  <si>
    <t>Chief executive</t>
  </si>
  <si>
    <t>Treasurer</t>
  </si>
  <si>
    <t>Assessing</t>
  </si>
  <si>
    <t>Clerk</t>
  </si>
  <si>
    <t>Elections</t>
  </si>
  <si>
    <t>Finance</t>
  </si>
  <si>
    <t>Building &amp; grounds</t>
  </si>
  <si>
    <t>All other gen gov.</t>
  </si>
  <si>
    <t>General government</t>
  </si>
  <si>
    <t>Police</t>
  </si>
  <si>
    <t>Fire</t>
  </si>
  <si>
    <t>Combined public safety</t>
  </si>
  <si>
    <t>Dispatch (if separate)</t>
  </si>
  <si>
    <t>Jail</t>
  </si>
  <si>
    <t>Building regulations</t>
  </si>
  <si>
    <t>Other public safety</t>
  </si>
  <si>
    <t xml:space="preserve">DPW </t>
  </si>
  <si>
    <t>Roads &amp; bridges</t>
  </si>
  <si>
    <t>Trash disposal &amp; landfilling</t>
  </si>
  <si>
    <t>Water or sewer</t>
  </si>
  <si>
    <t>Electricity</t>
  </si>
  <si>
    <t>Airports</t>
  </si>
  <si>
    <t>Public transportation</t>
  </si>
  <si>
    <t>Other public works</t>
  </si>
  <si>
    <t>Health dept.</t>
  </si>
  <si>
    <t>Alcoholism &amp; substance abuse</t>
  </si>
  <si>
    <t>Hospital</t>
  </si>
  <si>
    <t>Medical examiner</t>
  </si>
  <si>
    <t>Mental health</t>
  </si>
  <si>
    <t>Ambulance</t>
  </si>
  <si>
    <t>Child care</t>
  </si>
  <si>
    <t>Human services</t>
  </si>
  <si>
    <t>Area agency on aging</t>
  </si>
  <si>
    <t>Veterans' programs</t>
  </si>
  <si>
    <t>Other health &amp; welfare</t>
  </si>
  <si>
    <t>Public housing</t>
  </si>
  <si>
    <t>Planning &amp; zoning</t>
  </si>
  <si>
    <t>Economic development</t>
  </si>
  <si>
    <t>Oher community development</t>
  </si>
  <si>
    <t>Parks &amp; recreation</t>
  </si>
  <si>
    <t>Library</t>
  </si>
  <si>
    <t>Other cultural activities</t>
  </si>
  <si>
    <t>Fringe benefits not directly allocated to departments</t>
  </si>
  <si>
    <t>Capital outlay</t>
  </si>
  <si>
    <t>Debt service</t>
  </si>
  <si>
    <t>Interfund transfers out</t>
  </si>
  <si>
    <t>Total expenditures</t>
  </si>
  <si>
    <t>FUND BALANCE</t>
  </si>
  <si>
    <t>Total equity</t>
  </si>
  <si>
    <t>This sheet has been protected with no password</t>
  </si>
  <si>
    <t>Unlocked cells have conditional formatting set so that when they are blank, they are colored yellow.</t>
  </si>
  <si>
    <t>Community &amp; Econ Development</t>
  </si>
  <si>
    <t>Kent County</t>
  </si>
  <si>
    <t>Expense</t>
  </si>
  <si>
    <t>Equity</t>
  </si>
  <si>
    <t>Rev Variance</t>
  </si>
  <si>
    <t>Exp Variance</t>
  </si>
  <si>
    <t>Equity Variance</t>
  </si>
  <si>
    <t>Fiscal Services</t>
  </si>
  <si>
    <t>616.632.7670</t>
  </si>
  <si>
    <t>Statement Balance</t>
  </si>
  <si>
    <t>Fund Balance</t>
  </si>
  <si>
    <t>4. Long Term Debt obligations</t>
  </si>
  <si>
    <t>LocalUnit</t>
  </si>
  <si>
    <t>Account No</t>
  </si>
  <si>
    <t>FiscalYear</t>
  </si>
  <si>
    <t xml:space="preserve">General Fund </t>
  </si>
  <si>
    <t xml:space="preserve">All Other Governmental Funds </t>
  </si>
  <si>
    <t xml:space="preserve">Enterprise Funds </t>
  </si>
  <si>
    <t>Component Units</t>
  </si>
  <si>
    <t>Total</t>
  </si>
  <si>
    <t>410000-KENT</t>
  </si>
  <si>
    <t>400-449 Except below</t>
  </si>
  <si>
    <t>Property Tax (includes delinquent taxes, penalties, interest, fees)</t>
  </si>
  <si>
    <t>424</t>
  </si>
  <si>
    <t>Tax Reverted Property</t>
  </si>
  <si>
    <t>434</t>
  </si>
  <si>
    <t>Commercial Facilities Tax</t>
  </si>
  <si>
    <t>Trailer Taxes</t>
  </si>
  <si>
    <t>435</t>
  </si>
  <si>
    <t>Hotel/Motel Tax</t>
  </si>
  <si>
    <t>437</t>
  </si>
  <si>
    <t>Industrial Facilities Tax</t>
  </si>
  <si>
    <t>438</t>
  </si>
  <si>
    <t>Income Tax</t>
  </si>
  <si>
    <t>450-475</t>
  </si>
  <si>
    <t>Business Licenses &amp; Permits</t>
  </si>
  <si>
    <t>476-500</t>
  </si>
  <si>
    <t>Non-Business Licenses &amp; Permits</t>
  </si>
  <si>
    <t>Unassigned/Unrestricted</t>
  </si>
  <si>
    <t>Total Liabilities And Equity</t>
  </si>
  <si>
    <t>Total Equity</t>
  </si>
  <si>
    <t>Fund Balance/Net Assets</t>
  </si>
  <si>
    <t>Investment in Capital Assets</t>
  </si>
  <si>
    <t>Extraordinary/Special Items</t>
  </si>
  <si>
    <t>Transfers (out)</t>
  </si>
  <si>
    <t>965-999</t>
  </si>
  <si>
    <t>905-929</t>
  </si>
  <si>
    <t>900-904</t>
  </si>
  <si>
    <t>Fringes, Benefits, FICA, Insurances, etc.</t>
  </si>
  <si>
    <t>850-899</t>
  </si>
  <si>
    <t>Various Cultural Activities, Fine Arts, Historical Society, Museums, etc.</t>
  </si>
  <si>
    <t>793-849</t>
  </si>
  <si>
    <t>790-792</t>
  </si>
  <si>
    <t>Parks &amp; Recreation</t>
  </si>
  <si>
    <t>751-789</t>
  </si>
  <si>
    <t>All Other Development Activities</t>
  </si>
  <si>
    <t>732-746</t>
  </si>
  <si>
    <t>Economic Development</t>
  </si>
  <si>
    <t>728-731</t>
  </si>
  <si>
    <t>Community Planning &amp; Zoning</t>
  </si>
  <si>
    <t>721-727</t>
  </si>
  <si>
    <t>Redevelopment &amp; Public Housing</t>
  </si>
  <si>
    <t>690-705</t>
  </si>
  <si>
    <t>Other Health &amp; Welfare</t>
  </si>
  <si>
    <t>620-629,652-661,673-680</t>
  </si>
  <si>
    <t>Veterans' Programs</t>
  </si>
  <si>
    <t>681-689</t>
  </si>
  <si>
    <t>Area Agency on Aging</t>
  </si>
  <si>
    <t>Human Services &amp; Medical Care Facility</t>
  </si>
  <si>
    <t>670-671</t>
  </si>
  <si>
    <t>Child Care Activities/Human Services</t>
  </si>
  <si>
    <t>662-669</t>
  </si>
  <si>
    <t>Emergency Services (Ambulance)</t>
  </si>
  <si>
    <t>Mental Health</t>
  </si>
  <si>
    <t>Medical Examiner</t>
  </si>
  <si>
    <t>635-647</t>
  </si>
  <si>
    <t>Alcoholism &amp; Substance Abuse</t>
  </si>
  <si>
    <t>630-634</t>
  </si>
  <si>
    <t>Health Depts, Boards &amp; Clinics</t>
  </si>
  <si>
    <t>601-619</t>
  </si>
  <si>
    <t>All Other Public Safety Activities</t>
  </si>
  <si>
    <t>400-439</t>
  </si>
  <si>
    <t>Building Inspection &amp; Regulation Activities</t>
  </si>
  <si>
    <t>371-399</t>
  </si>
  <si>
    <t>Corrections/Jail</t>
  </si>
  <si>
    <t>351-370</t>
  </si>
  <si>
    <t>Emergency 911 Dispatch Activities</t>
  </si>
  <si>
    <t>346-350</t>
  </si>
  <si>
    <t>Combined Public Safety Department</t>
  </si>
  <si>
    <t>336-344</t>
  </si>
  <si>
    <t>Police/Sheriff</t>
  </si>
  <si>
    <t>301-335</t>
  </si>
  <si>
    <t>All Other General Government</t>
  </si>
  <si>
    <t>261-264,266,267,268-274,275-299</t>
  </si>
  <si>
    <t>Building &amp; Grounds</t>
  </si>
  <si>
    <t>Finance  &amp; Tax Administration</t>
  </si>
  <si>
    <t>191-214, 220-242, 248-256, 258-260</t>
  </si>
  <si>
    <t>215-219</t>
  </si>
  <si>
    <t>Assessing Equalization</t>
  </si>
  <si>
    <t>243-247 and 257</t>
  </si>
  <si>
    <t>253-256</t>
  </si>
  <si>
    <t>Chief Executive</t>
  </si>
  <si>
    <t>170-190</t>
  </si>
  <si>
    <t>130-169</t>
  </si>
  <si>
    <t>Legislative (Council, Board, Commission)</t>
  </si>
  <si>
    <t>100-129</t>
  </si>
  <si>
    <t>Transfers In</t>
  </si>
  <si>
    <t>699</t>
  </si>
  <si>
    <t/>
  </si>
  <si>
    <t>Proceeds from Bond/Note Issuance</t>
  </si>
  <si>
    <t>698</t>
  </si>
  <si>
    <t>All Other Refunds &amp; Rebates</t>
  </si>
  <si>
    <t>676-692</t>
  </si>
  <si>
    <t>676-686</t>
  </si>
  <si>
    <t>Public &amp; Private Contributions</t>
  </si>
  <si>
    <t>674-675</t>
  </si>
  <si>
    <t>Sale of Fixed Assets</t>
  </si>
  <si>
    <t>673</t>
  </si>
  <si>
    <t>Special Assessments</t>
  </si>
  <si>
    <t>672</t>
  </si>
  <si>
    <t>Misc Other Revenue</t>
  </si>
  <si>
    <t>671</t>
  </si>
  <si>
    <t>Rents &amp; Royalties</t>
  </si>
  <si>
    <t>667-670</t>
  </si>
  <si>
    <t>Interest &amp; Dividends</t>
  </si>
  <si>
    <t>664-666</t>
  </si>
  <si>
    <t>All Fines, Penalties &amp; Forfeits</t>
  </si>
  <si>
    <t>655-663</t>
  </si>
  <si>
    <t>All Other Sales, Use &amp; Admission Fees</t>
  </si>
  <si>
    <t>642-654</t>
  </si>
  <si>
    <t>Parking Facilities (garages, meters, etc.)</t>
  </si>
  <si>
    <t>All Other Services Rendered Charges</t>
  </si>
  <si>
    <t>626-641</t>
  </si>
  <si>
    <t>Fire Runs</t>
  </si>
  <si>
    <t>All Other Statutory Fees</t>
  </si>
  <si>
    <t>607-625</t>
  </si>
  <si>
    <t>Register of Deeds</t>
  </si>
  <si>
    <t>Clerk's Office</t>
  </si>
  <si>
    <t>Statutory Court Fees &amp; Costs</t>
  </si>
  <si>
    <t>Court Ordered Fees &amp; Charges</t>
  </si>
  <si>
    <t>601-606</t>
  </si>
  <si>
    <t>All Other</t>
  </si>
  <si>
    <t>588-599</t>
  </si>
  <si>
    <t>Transit</t>
  </si>
  <si>
    <t>Gas, Water, Electric Utilities</t>
  </si>
  <si>
    <t>Housing &amp; Community Development</t>
  </si>
  <si>
    <t>Culture &amp; Recreation</t>
  </si>
  <si>
    <t>587</t>
  </si>
  <si>
    <t>Welfare</t>
  </si>
  <si>
    <t>586</t>
  </si>
  <si>
    <t>Health and/or Hospitals</t>
  </si>
  <si>
    <t>585</t>
  </si>
  <si>
    <t>Sanitation</t>
  </si>
  <si>
    <t>584</t>
  </si>
  <si>
    <t>Streets &amp; Highways</t>
  </si>
  <si>
    <t>583</t>
  </si>
  <si>
    <t>Public Safety</t>
  </si>
  <si>
    <t>582</t>
  </si>
  <si>
    <t>581</t>
  </si>
  <si>
    <t>Other General/All Other State Aid Grants</t>
  </si>
  <si>
    <t>563-569,   573</t>
  </si>
  <si>
    <t>570-572</t>
  </si>
  <si>
    <t>Electric</t>
  </si>
  <si>
    <t>Water</t>
  </si>
  <si>
    <t>566-568</t>
  </si>
  <si>
    <t>561-565</t>
  </si>
  <si>
    <t>555-560</t>
  </si>
  <si>
    <t>552-554</t>
  </si>
  <si>
    <t>Streets &amp; Highways (Non-Act 51)</t>
  </si>
  <si>
    <t>546-551</t>
  </si>
  <si>
    <t>Streets &amp; Highways (Act 51)</t>
  </si>
  <si>
    <t>543-545</t>
  </si>
  <si>
    <t>Swamp Land Taxes, Forest Reserve</t>
  </si>
  <si>
    <t>424-431</t>
  </si>
  <si>
    <t>Payment in-Lieu-of Taxes (PiLoT)</t>
  </si>
  <si>
    <t>General Government Excluding Revenue Sharing</t>
  </si>
  <si>
    <t>539-542</t>
  </si>
  <si>
    <t>State Revenue Sharing</t>
  </si>
  <si>
    <t>574-579</t>
  </si>
  <si>
    <t>All Other Federal Aid Grants</t>
  </si>
  <si>
    <t>529-538</t>
  </si>
  <si>
    <t>523-527</t>
  </si>
  <si>
    <t>519-522</t>
  </si>
  <si>
    <t>516-518</t>
  </si>
  <si>
    <t>513-515</t>
  </si>
  <si>
    <t>510-512</t>
  </si>
  <si>
    <t>505-509</t>
  </si>
  <si>
    <t>501-504</t>
  </si>
  <si>
    <t>GF Total</t>
  </si>
  <si>
    <t>Commentary:   Effective July 1, 2016, operations of the Kent County Airport were transferred to a legally-separate authority. The Authority is reported as a discretely-presented component unit and is not included in the tables above.</t>
  </si>
  <si>
    <t>(Does not include Component Unit Drainage Districts)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</si>
</sst>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_);_(* \(#,##0.00\);_(* &quot;-&quot;_);_(@_)"/>
  </numFmts>
  <fonts count="48">
    <font>
      <sz val="11"/>
      <color indexed="8"/>
      <name val="Calibri"/>
      <family val="2"/>
    </font>
    <font>
      <sz val="10"/>
      <name val="Arial"/>
      <family val="2"/>
    </font>
    <font>
      <u val="singleAccounting"/>
      <sz val="12"/>
      <name val="Humanst521 BT"/>
      <family val="2"/>
    </font>
    <font>
      <sz val="12"/>
      <name val="Humanst521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30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rgb="FF0000FF"/>
      <name val="Calibri"/>
      <family val="2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</borders>
  <cellStyleXfs count="65">
    <xf numFmtId="41" fontId="0" fillId="0" borderId="0">
      <alignment vertical="center"/>
    </xf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3" borderId="0"/>
    <xf numFmtId="0" fontId="7" fillId="20" borderId="1"/>
    <xf numFmtId="0" fontId="8" fillId="21" borderId="2"/>
    <xf numFmtId="49" fontId="2" fillId="0" borderId="0">
      <alignment horizontal="center" vertical="center" wrapText="1"/>
    </xf>
    <xf numFmtId="41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4" fontId="4" fillId="0" borderId="0">
      <alignment vertical="center"/>
    </xf>
    <xf numFmtId="42" fontId="1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0" fontId="9" fillId="0" borderId="0"/>
    <xf numFmtId="0" fontId="10" fillId="4" borderId="0"/>
    <xf numFmtId="0" fontId="11" fillId="0" borderId="3"/>
    <xf numFmtId="0" fontId="12" fillId="0" borderId="4"/>
    <xf numFmtId="0" fontId="13" fillId="0" borderId="5"/>
    <xf numFmtId="0" fontId="13" fillId="0" borderId="0"/>
    <xf numFmtId="0" fontId="14" fillId="7" borderId="1"/>
    <xf numFmtId="0" fontId="15" fillId="0" borderId="6"/>
    <xf numFmtId="0" fontId="16" fillId="22" borderId="0"/>
    <xf numFmtId="41" fontId="4" fillId="0" borderId="0">
      <alignment vertical="center"/>
    </xf>
    <xf numFmtId="41" fontId="26" fillId="0" borderId="0"/>
    <xf numFmtId="0" fontId="4" fillId="23" borderId="7"/>
    <xf numFmtId="0" fontId="17" fillId="20" borderId="8"/>
    <xf numFmtId="9" fontId="4" fillId="0" borderId="0">
      <alignment vertical="center"/>
    </xf>
    <xf numFmtId="9" fontId="4" fillId="0" borderId="0">
      <alignment vertical="center"/>
    </xf>
    <xf numFmtId="49" fontId="3" fillId="0" borderId="0">
      <alignment horizontal="left" vertical="center"/>
    </xf>
    <xf numFmtId="0" fontId="18" fillId="0" borderId="0"/>
    <xf numFmtId="0" fontId="19" fillId="0" borderId="9"/>
    <xf numFmtId="0" fontId="20" fillId="0" borderId="0"/>
    <xf numFmtId="43" fontId="4" fillId="0" borderId="0" applyFont="0" applyFill="0" applyBorder="0" applyAlignment="0" applyProtection="0"/>
    <xf numFmtId="0" fontId="1" fillId="0" borderId="0">
      <alignment vertical="center"/>
    </xf>
  </cellStyleXfs>
  <cellXfs count="154">
    <xf numFmtId="41" fontId="0" fillId="0" borderId="0" xfId="0" applyNumberFormat="1" applyFont="1" applyBorder="1" applyAlignment="1">
      <alignment vertical="center"/>
    </xf>
    <xf numFmtId="41" fontId="27" fillId="0" borderId="15" xfId="0" applyFont="1" applyBorder="1" applyAlignment="1">
      <alignment horizontal="centerContinuous"/>
    </xf>
    <xf numFmtId="49" fontId="28" fillId="0" borderId="0" xfId="0" applyNumberFormat="1" applyFont="1" applyFill="1" applyAlignment="1" applyProtection="1">
      <alignment horizontal="left"/>
      <protection locked="0"/>
    </xf>
    <xf numFmtId="41" fontId="29" fillId="0" borderId="0" xfId="54" applyFont="1" applyFill="1"/>
    <xf numFmtId="49" fontId="30" fillId="0" borderId="0" xfId="54" applyNumberFormat="1" applyFont="1" applyFill="1" applyAlignment="1">
      <alignment horizontal="left" vertical="top"/>
    </xf>
    <xf numFmtId="49" fontId="29" fillId="0" borderId="0" xfId="54" applyNumberFormat="1" applyFont="1" applyFill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4" fillId="0" borderId="0" xfId="0" quotePrefix="1" applyNumberFormat="1" applyFont="1" applyFill="1" applyBorder="1" applyAlignment="1">
      <alignment horizontal="left" vertical="top"/>
    </xf>
    <xf numFmtId="49" fontId="29" fillId="0" borderId="0" xfId="54" quotePrefix="1" applyNumberFormat="1" applyFont="1" applyFill="1" applyAlignment="1">
      <alignment horizontal="left" vertical="top"/>
    </xf>
    <xf numFmtId="41" fontId="31" fillId="0" borderId="0" xfId="0" applyNumberFormat="1" applyFont="1" applyFill="1" applyBorder="1" applyAlignment="1" applyProtection="1">
      <alignment vertical="center"/>
      <protection locked="0"/>
    </xf>
    <xf numFmtId="41" fontId="31" fillId="0" borderId="0" xfId="0" applyNumberFormat="1" applyFont="1" applyFill="1" applyBorder="1" applyAlignment="1">
      <alignment vertical="center"/>
    </xf>
    <xf numFmtId="41" fontId="31" fillId="0" borderId="0" xfId="0" applyNumberFormat="1" applyFont="1" applyBorder="1" applyAlignment="1">
      <alignment vertical="center"/>
    </xf>
    <xf numFmtId="41" fontId="31" fillId="0" borderId="0" xfId="0" applyNumberFormat="1" applyFont="1" applyBorder="1" applyAlignment="1">
      <alignment horizontal="left" vertical="center"/>
    </xf>
    <xf numFmtId="41" fontId="31" fillId="0" borderId="0" xfId="0" applyNumberFormat="1" applyFont="1" applyBorder="1" applyAlignment="1">
      <alignment horizontal="centerContinuous" vertical="center"/>
    </xf>
    <xf numFmtId="41" fontId="31" fillId="0" borderId="0" xfId="0" applyFont="1" applyAlignment="1"/>
    <xf numFmtId="41" fontId="31" fillId="0" borderId="0" xfId="0" applyFont="1" applyFill="1" applyAlignment="1" applyProtection="1">
      <protection locked="0"/>
    </xf>
    <xf numFmtId="41" fontId="31" fillId="0" borderId="0" xfId="0" applyFont="1" applyFill="1" applyAlignment="1"/>
    <xf numFmtId="41" fontId="31" fillId="0" borderId="15" xfId="0" applyFont="1" applyBorder="1" applyAlignment="1">
      <alignment horizontal="centerContinuous"/>
    </xf>
    <xf numFmtId="41" fontId="32" fillId="0" borderId="0" xfId="0" applyNumberFormat="1" applyFont="1" applyBorder="1" applyAlignment="1" applyProtection="1">
      <alignment vertical="center"/>
      <protection locked="0"/>
    </xf>
    <xf numFmtId="0" fontId="33" fillId="0" borderId="0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NumberFormat="1" applyFont="1" applyBorder="1" applyAlignment="1">
      <alignment horizontal="center" vertical="center" wrapText="1"/>
    </xf>
    <xf numFmtId="41" fontId="34" fillId="0" borderId="0" xfId="0" applyNumberFormat="1" applyFont="1" applyBorder="1" applyAlignment="1" applyProtection="1">
      <alignment horizontal="left" vertical="center"/>
      <protection locked="0"/>
    </xf>
    <xf numFmtId="41" fontId="35" fillId="0" borderId="0" xfId="0" applyNumberFormat="1" applyFont="1" applyBorder="1" applyAlignment="1">
      <alignment vertical="center"/>
    </xf>
    <xf numFmtId="5" fontId="36" fillId="0" borderId="0" xfId="0" applyNumberFormat="1" applyFont="1" applyBorder="1" applyAlignment="1">
      <alignment horizontal="center" vertical="center"/>
    </xf>
    <xf numFmtId="5" fontId="37" fillId="0" borderId="0" xfId="0" applyNumberFormat="1" applyFont="1" applyBorder="1" applyAlignment="1">
      <alignment horizontal="center" vertical="center"/>
    </xf>
    <xf numFmtId="41" fontId="38" fillId="0" borderId="0" xfId="0" applyNumberFormat="1" applyFont="1" applyBorder="1" applyAlignment="1">
      <alignment vertical="center"/>
    </xf>
    <xf numFmtId="41" fontId="31" fillId="0" borderId="0" xfId="0" applyNumberFormat="1" applyFont="1" applyBorder="1" applyAlignment="1">
      <alignment horizontal="right" vertical="center"/>
    </xf>
    <xf numFmtId="41" fontId="31" fillId="0" borderId="0" xfId="0" applyNumberFormat="1" applyFont="1" applyBorder="1" applyAlignment="1" applyProtection="1">
      <alignment vertical="center"/>
      <protection locked="0"/>
    </xf>
    <xf numFmtId="41" fontId="31" fillId="0" borderId="0" xfId="0" applyNumberFormat="1" applyFont="1" applyBorder="1" applyAlignment="1">
      <alignment horizontal="left" vertical="center" indent="2"/>
    </xf>
    <xf numFmtId="41" fontId="38" fillId="0" borderId="0" xfId="0" applyNumberFormat="1" applyFont="1" applyBorder="1" applyAlignment="1">
      <alignment horizontal="left" vertical="center" indent="2"/>
    </xf>
    <xf numFmtId="41" fontId="31" fillId="0" borderId="0" xfId="0" applyNumberFormat="1" applyFont="1" applyBorder="1" applyAlignment="1" applyProtection="1">
      <alignment horizontal="left" vertical="center" indent="2"/>
      <protection locked="0"/>
    </xf>
    <xf numFmtId="41" fontId="31" fillId="0" borderId="16" xfId="0" applyNumberFormat="1" applyFont="1" applyBorder="1" applyAlignment="1">
      <alignment vertical="center"/>
    </xf>
    <xf numFmtId="41" fontId="31" fillId="0" borderId="10" xfId="0" applyNumberFormat="1" applyFont="1" applyBorder="1" applyAlignment="1">
      <alignment vertical="center"/>
    </xf>
    <xf numFmtId="41" fontId="31" fillId="0" borderId="0" xfId="0" applyNumberFormat="1" applyFont="1" applyBorder="1" applyAlignment="1">
      <alignment horizontal="left" vertical="center" indent="1"/>
    </xf>
    <xf numFmtId="41" fontId="31" fillId="0" borderId="10" xfId="57" applyNumberFormat="1" applyFont="1" applyBorder="1" applyAlignment="1">
      <alignment vertical="center"/>
    </xf>
    <xf numFmtId="0" fontId="39" fillId="0" borderId="0" xfId="0" applyNumberFormat="1" applyFont="1" applyBorder="1" applyAlignment="1">
      <alignment horizontal="center" vertical="center" wrapText="1"/>
    </xf>
    <xf numFmtId="41" fontId="33" fillId="0" borderId="0" xfId="0" applyNumberFormat="1" applyFont="1" applyBorder="1" applyAlignment="1">
      <alignment horizontal="centerContinuous" vertical="center"/>
    </xf>
    <xf numFmtId="41" fontId="31" fillId="0" borderId="0" xfId="0" applyNumberFormat="1" applyFont="1" applyBorder="1" applyAlignment="1" applyProtection="1">
      <alignment horizontal="left" vertical="center"/>
      <protection locked="0"/>
    </xf>
    <xf numFmtId="41" fontId="31" fillId="0" borderId="0" xfId="57" applyNumberFormat="1" applyFont="1" applyBorder="1" applyAlignment="1">
      <alignment vertical="center"/>
    </xf>
    <xf numFmtId="9" fontId="31" fillId="0" borderId="0" xfId="57" applyNumberFormat="1" applyFont="1" applyBorder="1" applyAlignment="1">
      <alignment vertical="center"/>
    </xf>
    <xf numFmtId="9" fontId="31" fillId="0" borderId="0" xfId="0" applyNumberFormat="1" applyFont="1" applyBorder="1" applyAlignment="1">
      <alignment vertical="center"/>
    </xf>
    <xf numFmtId="41" fontId="31" fillId="0" borderId="0" xfId="0" applyNumberFormat="1" applyFont="1" applyBorder="1" applyAlignment="1" applyProtection="1">
      <alignment horizontal="left" vertical="center" indent="1"/>
      <protection locked="0"/>
    </xf>
    <xf numFmtId="41" fontId="31" fillId="0" borderId="0" xfId="0" applyNumberFormat="1" applyFont="1" applyBorder="1" applyAlignment="1" applyProtection="1">
      <alignment horizontal="left" vertical="center" indent="3"/>
      <protection locked="0"/>
    </xf>
    <xf numFmtId="41" fontId="31" fillId="0" borderId="17" xfId="0" applyNumberFormat="1" applyFont="1" applyBorder="1" applyAlignment="1">
      <alignment vertical="center"/>
    </xf>
    <xf numFmtId="41" fontId="31" fillId="0" borderId="0" xfId="0" applyNumberFormat="1" applyFont="1" applyBorder="1" applyAlignment="1" applyProtection="1">
      <alignment vertical="center" wrapText="1"/>
      <protection locked="0"/>
    </xf>
    <xf numFmtId="41" fontId="31" fillId="0" borderId="10" xfId="0" applyNumberFormat="1" applyFont="1" applyBorder="1" applyAlignment="1"/>
    <xf numFmtId="41" fontId="35" fillId="0" borderId="0" xfId="0" applyNumberFormat="1" applyFont="1" applyBorder="1" applyAlignment="1" applyProtection="1">
      <alignment vertical="center"/>
      <protection locked="0"/>
    </xf>
    <xf numFmtId="41" fontId="31" fillId="21" borderId="0" xfId="0" applyNumberFormat="1" applyFont="1" applyFill="1" applyBorder="1" applyAlignment="1">
      <alignment vertical="center"/>
    </xf>
    <xf numFmtId="41" fontId="31" fillId="21" borderId="0" xfId="0" applyNumberFormat="1" applyFont="1" applyFill="1" applyBorder="1" applyAlignment="1" applyProtection="1">
      <alignment vertical="center"/>
      <protection locked="0"/>
    </xf>
    <xf numFmtId="0" fontId="33" fillId="21" borderId="0" xfId="0" applyNumberFormat="1" applyFont="1" applyFill="1" applyBorder="1" applyAlignment="1">
      <alignment horizontal="center" vertical="center" wrapText="1"/>
    </xf>
    <xf numFmtId="41" fontId="31" fillId="24" borderId="0" xfId="0" applyNumberFormat="1" applyFont="1" applyFill="1" applyBorder="1" applyAlignment="1" applyProtection="1">
      <alignment vertical="center"/>
      <protection locked="0"/>
    </xf>
    <xf numFmtId="14" fontId="31" fillId="24" borderId="15" xfId="0" applyNumberFormat="1" applyFont="1" applyFill="1" applyBorder="1" applyAlignment="1">
      <alignment horizontal="center" vertical="center" wrapText="1"/>
    </xf>
    <xf numFmtId="49" fontId="31" fillId="24" borderId="0" xfId="0" applyNumberFormat="1" applyFont="1" applyFill="1" applyBorder="1" applyAlignment="1">
      <alignment vertical="center"/>
    </xf>
    <xf numFmtId="0" fontId="40" fillId="0" borderId="23" xfId="0" applyNumberFormat="1" applyFont="1" applyBorder="1" applyAlignment="1">
      <alignment horizontal="center" vertical="center"/>
    </xf>
    <xf numFmtId="0" fontId="40" fillId="0" borderId="23" xfId="0" applyNumberFormat="1" applyFont="1" applyBorder="1" applyAlignment="1">
      <alignment horizontal="center" vertical="center" wrapText="1"/>
    </xf>
    <xf numFmtId="0" fontId="21" fillId="0" borderId="23" xfId="0" applyNumberFormat="1" applyFont="1" applyBorder="1" applyAlignment="1">
      <alignment horizontal="center" vertical="center"/>
    </xf>
    <xf numFmtId="41" fontId="0" fillId="0" borderId="23" xfId="0" applyNumberFormat="1" applyFont="1" applyBorder="1" applyAlignment="1">
      <alignment vertical="center"/>
    </xf>
    <xf numFmtId="0" fontId="41" fillId="0" borderId="23" xfId="0" applyNumberFormat="1" applyFont="1" applyBorder="1" applyAlignment="1">
      <alignment vertical="center" wrapText="1"/>
    </xf>
    <xf numFmtId="0" fontId="0" fillId="0" borderId="23" xfId="0" applyNumberFormat="1" applyFont="1" applyBorder="1" applyAlignment="1">
      <alignment vertical="center" wrapText="1"/>
    </xf>
    <xf numFmtId="0" fontId="0" fillId="0" borderId="23" xfId="0" applyNumberFormat="1" applyFont="1" applyBorder="1" applyAlignment="1" applyProtection="1">
      <alignment vertical="center" wrapText="1"/>
      <protection locked="0"/>
    </xf>
    <xf numFmtId="41" fontId="0" fillId="0" borderId="23" xfId="0" applyNumberFormat="1" applyFont="1" applyBorder="1" applyAlignment="1" applyProtection="1">
      <alignment vertical="center"/>
      <protection locked="0"/>
    </xf>
    <xf numFmtId="41" fontId="0" fillId="0" borderId="23" xfId="53" applyNumberFormat="1" applyFont="1" applyBorder="1" applyAlignment="1" applyProtection="1">
      <alignment vertical="center"/>
      <protection locked="0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Border="1" applyAlignment="1">
      <alignment vertical="center" wrapText="1"/>
    </xf>
    <xf numFmtId="41" fontId="22" fillId="25" borderId="0" xfId="0" applyNumberFormat="1" applyFont="1" applyFill="1" applyBorder="1" applyAlignment="1">
      <alignment horizontal="left" vertical="center"/>
    </xf>
    <xf numFmtId="41" fontId="0" fillId="25" borderId="0" xfId="0" applyNumberFormat="1" applyFont="1" applyFill="1" applyBorder="1" applyAlignment="1">
      <alignment vertical="center"/>
    </xf>
    <xf numFmtId="41" fontId="23" fillId="25" borderId="0" xfId="0" applyNumberFormat="1" applyFont="1" applyFill="1" applyBorder="1" applyAlignment="1">
      <alignment horizontal="right" vertical="center"/>
    </xf>
    <xf numFmtId="0" fontId="21" fillId="25" borderId="11" xfId="0" applyNumberFormat="1" applyFont="1" applyFill="1" applyBorder="1" applyAlignment="1">
      <alignment horizontal="center" vertical="center" wrapText="1"/>
    </xf>
    <xf numFmtId="42" fontId="0" fillId="25" borderId="0" xfId="0" applyNumberFormat="1" applyFont="1" applyFill="1" applyBorder="1" applyAlignment="1">
      <alignment vertical="center"/>
    </xf>
    <xf numFmtId="10" fontId="0" fillId="25" borderId="0" xfId="57" applyNumberFormat="1" applyFont="1" applyFill="1" applyBorder="1" applyAlignment="1">
      <alignment horizontal="right" vertical="center"/>
    </xf>
    <xf numFmtId="10" fontId="0" fillId="25" borderId="0" xfId="57" applyNumberFormat="1" applyFont="1" applyFill="1" applyBorder="1" applyAlignment="1">
      <alignment vertical="center"/>
    </xf>
    <xf numFmtId="41" fontId="0" fillId="25" borderId="0" xfId="0" applyNumberFormat="1" applyFont="1" applyFill="1" applyBorder="1" applyAlignment="1">
      <alignment vertical="top"/>
    </xf>
    <xf numFmtId="41" fontId="0" fillId="25" borderId="25" xfId="0" applyNumberFormat="1" applyFont="1" applyFill="1" applyBorder="1" applyAlignment="1">
      <alignment vertical="center"/>
    </xf>
    <xf numFmtId="10" fontId="0" fillId="25" borderId="25" xfId="57" applyNumberFormat="1" applyFont="1" applyFill="1" applyBorder="1" applyAlignment="1">
      <alignment horizontal="right" vertical="center"/>
    </xf>
    <xf numFmtId="42" fontId="19" fillId="25" borderId="10" xfId="0" applyNumberFormat="1" applyFont="1" applyFill="1" applyBorder="1" applyAlignment="1">
      <alignment vertical="center"/>
    </xf>
    <xf numFmtId="10" fontId="19" fillId="25" borderId="10" xfId="57" applyNumberFormat="1" applyFont="1" applyFill="1" applyBorder="1" applyAlignment="1">
      <alignment horizontal="right" vertical="center"/>
    </xf>
    <xf numFmtId="0" fontId="42" fillId="25" borderId="24" xfId="0" applyNumberFormat="1" applyFont="1" applyFill="1" applyBorder="1" applyAlignment="1">
      <alignment horizontal="center" wrapText="1"/>
    </xf>
    <xf numFmtId="41" fontId="42" fillId="25" borderId="26" xfId="0" applyNumberFormat="1" applyFont="1" applyFill="1" applyBorder="1" applyAlignment="1"/>
    <xf numFmtId="0" fontId="42" fillId="25" borderId="26" xfId="0" applyNumberFormat="1" applyFont="1" applyFill="1" applyBorder="1" applyAlignment="1">
      <alignment horizontal="center" wrapText="1"/>
    </xf>
    <xf numFmtId="0" fontId="21" fillId="25" borderId="0" xfId="0" applyNumberFormat="1" applyFont="1" applyFill="1" applyBorder="1" applyAlignment="1">
      <alignment horizontal="center" vertical="center" wrapText="1"/>
    </xf>
    <xf numFmtId="41" fontId="19" fillId="25" borderId="10" xfId="0" applyNumberFormat="1" applyFont="1" applyFill="1" applyBorder="1" applyAlignment="1">
      <alignment vertical="center"/>
    </xf>
    <xf numFmtId="41" fontId="0" fillId="25" borderId="15" xfId="0" applyNumberFormat="1" applyFont="1" applyFill="1" applyBorder="1" applyAlignment="1">
      <alignment vertical="center"/>
    </xf>
    <xf numFmtId="41" fontId="42" fillId="25" borderId="24" xfId="0" applyNumberFormat="1" applyFont="1" applyFill="1" applyBorder="1" applyAlignment="1"/>
    <xf numFmtId="164" fontId="0" fillId="25" borderId="0" xfId="36" applyNumberFormat="1" applyFont="1" applyFill="1" applyBorder="1" applyAlignment="1">
      <alignment vertical="center"/>
    </xf>
    <xf numFmtId="41" fontId="19" fillId="25" borderId="10" xfId="0" applyNumberFormat="1" applyFont="1" applyFill="1" applyBorder="1" applyAlignment="1">
      <alignment horizontal="left" vertical="center"/>
    </xf>
    <xf numFmtId="41" fontId="0" fillId="25" borderId="0" xfId="0" applyNumberFormat="1" applyFont="1" applyFill="1" applyBorder="1" applyAlignment="1">
      <alignment horizontal="left" vertical="center" indent="2"/>
    </xf>
    <xf numFmtId="9" fontId="0" fillId="25" borderId="0" xfId="57" applyNumberFormat="1" applyFont="1" applyFill="1" applyBorder="1" applyAlignment="1">
      <alignment vertical="center"/>
    </xf>
    <xf numFmtId="41" fontId="0" fillId="25" borderId="0" xfId="0" applyNumberFormat="1" applyFont="1" applyFill="1" applyBorder="1" applyAlignment="1">
      <alignment horizontal="left" vertical="center"/>
    </xf>
    <xf numFmtId="41" fontId="0" fillId="26" borderId="23" xfId="0" applyNumberFormat="1" applyFont="1" applyFill="1" applyBorder="1" applyAlignment="1" applyProtection="1">
      <alignment vertical="center"/>
      <protection locked="0"/>
    </xf>
    <xf numFmtId="41" fontId="19" fillId="25" borderId="0" xfId="0" applyNumberFormat="1" applyFont="1" applyFill="1" applyBorder="1" applyAlignment="1">
      <alignment horizontal="right" vertical="center"/>
    </xf>
    <xf numFmtId="41" fontId="0" fillId="25" borderId="0" xfId="0" applyNumberFormat="1" applyFont="1" applyFill="1" applyBorder="1" applyAlignment="1">
      <alignment horizontal="left" vertical="top"/>
    </xf>
    <xf numFmtId="41" fontId="38" fillId="27" borderId="0" xfId="0" applyNumberFormat="1" applyFont="1" applyFill="1" applyBorder="1" applyAlignment="1" applyProtection="1">
      <alignment vertical="center"/>
      <protection locked="0"/>
    </xf>
    <xf numFmtId="41" fontId="31" fillId="28" borderId="0" xfId="0" applyNumberFormat="1" applyFont="1" applyFill="1" applyBorder="1" applyAlignment="1" applyProtection="1">
      <alignment vertical="center"/>
      <protection locked="0"/>
    </xf>
    <xf numFmtId="41" fontId="31" fillId="24" borderId="0" xfId="0" applyFont="1" applyFill="1" applyAlignment="1">
      <alignment horizontal="right"/>
    </xf>
    <xf numFmtId="49" fontId="31" fillId="24" borderId="0" xfId="0" applyNumberFormat="1" applyFont="1" applyFill="1" applyAlignment="1">
      <alignment horizontal="right"/>
    </xf>
    <xf numFmtId="41" fontId="0" fillId="25" borderId="0" xfId="0" applyNumberFormat="1" applyFont="1" applyFill="1" applyBorder="1" applyAlignment="1" applyProtection="1">
      <alignment vertical="center"/>
    </xf>
    <xf numFmtId="41" fontId="0" fillId="25" borderId="25" xfId="0" applyNumberFormat="1" applyFont="1" applyFill="1" applyBorder="1" applyAlignment="1" applyProtection="1">
      <alignment vertical="center"/>
    </xf>
    <xf numFmtId="41" fontId="22" fillId="25" borderId="0" xfId="0" applyNumberFormat="1" applyFont="1" applyFill="1" applyBorder="1" applyAlignment="1" applyProtection="1">
      <alignment horizontal="left" vertical="center"/>
    </xf>
    <xf numFmtId="41" fontId="19" fillId="25" borderId="0" xfId="0" applyNumberFormat="1" applyFont="1" applyFill="1" applyBorder="1" applyAlignment="1" applyProtection="1">
      <alignment horizontal="right" vertical="center"/>
    </xf>
    <xf numFmtId="41" fontId="0" fillId="25" borderId="15" xfId="0" applyNumberFormat="1" applyFont="1" applyFill="1" applyBorder="1" applyAlignment="1" applyProtection="1">
      <alignment vertical="center"/>
    </xf>
    <xf numFmtId="41" fontId="42" fillId="25" borderId="26" xfId="0" applyNumberFormat="1" applyFont="1" applyFill="1" applyBorder="1" applyAlignment="1" applyProtection="1"/>
    <xf numFmtId="0" fontId="42" fillId="25" borderId="26" xfId="0" applyNumberFormat="1" applyFont="1" applyFill="1" applyBorder="1" applyAlignment="1" applyProtection="1">
      <alignment horizontal="center" wrapText="1"/>
    </xf>
    <xf numFmtId="41" fontId="0" fillId="25" borderId="27" xfId="0" applyNumberFormat="1" applyFont="1" applyFill="1" applyBorder="1" applyAlignment="1" applyProtection="1">
      <alignment vertical="center"/>
    </xf>
    <xf numFmtId="10" fontId="0" fillId="25" borderId="27" xfId="0" applyNumberFormat="1" applyFont="1" applyFill="1" applyBorder="1" applyAlignment="1" applyProtection="1">
      <alignment horizontal="right" vertical="center"/>
    </xf>
    <xf numFmtId="10" fontId="0" fillId="25" borderId="0" xfId="57" applyNumberFormat="1" applyFont="1" applyFill="1" applyBorder="1" applyAlignment="1" applyProtection="1">
      <alignment horizontal="right" vertical="center"/>
    </xf>
    <xf numFmtId="41" fontId="19" fillId="25" borderId="10" xfId="0" applyNumberFormat="1" applyFont="1" applyFill="1" applyBorder="1" applyAlignment="1" applyProtection="1">
      <alignment horizontal="left" vertical="center"/>
    </xf>
    <xf numFmtId="41" fontId="19" fillId="25" borderId="10" xfId="0" applyNumberFormat="1" applyFont="1" applyFill="1" applyBorder="1" applyAlignment="1" applyProtection="1">
      <alignment vertical="center"/>
    </xf>
    <xf numFmtId="10" fontId="19" fillId="25" borderId="10" xfId="57" applyNumberFormat="1" applyFont="1" applyFill="1" applyBorder="1" applyAlignment="1" applyProtection="1">
      <alignment horizontal="right" vertical="center"/>
    </xf>
    <xf numFmtId="41" fontId="42" fillId="25" borderId="26" xfId="0" applyNumberFormat="1" applyFont="1" applyFill="1" applyBorder="1" applyAlignment="1" applyProtection="1">
      <alignment vertical="center"/>
    </xf>
    <xf numFmtId="41" fontId="0" fillId="25" borderId="28" xfId="0" applyNumberFormat="1" applyFont="1" applyFill="1" applyBorder="1" applyAlignment="1" applyProtection="1">
      <alignment vertical="center"/>
    </xf>
    <xf numFmtId="10" fontId="0" fillId="25" borderId="25" xfId="57" applyNumberFormat="1" applyFont="1" applyFill="1" applyBorder="1" applyAlignment="1" applyProtection="1">
      <alignment horizontal="right" vertical="center"/>
    </xf>
    <xf numFmtId="41" fontId="31" fillId="24" borderId="15" xfId="0" applyNumberFormat="1" applyFont="1" applyFill="1" applyBorder="1" applyAlignment="1" applyProtection="1">
      <alignment vertical="center"/>
      <protection locked="0"/>
    </xf>
    <xf numFmtId="41" fontId="43" fillId="0" borderId="0" xfId="0" applyNumberFormat="1" applyFont="1" applyBorder="1" applyAlignment="1">
      <alignment vertical="center"/>
    </xf>
    <xf numFmtId="41" fontId="0" fillId="25" borderId="0" xfId="0" applyNumberFormat="1" applyFont="1" applyFill="1" applyBorder="1" applyAlignment="1">
      <alignment horizontal="left" vertical="center" indent="4"/>
    </xf>
    <xf numFmtId="41" fontId="0" fillId="25" borderId="12" xfId="0" applyNumberFormat="1" applyFont="1" applyFill="1" applyBorder="1" applyAlignment="1">
      <alignment vertical="center"/>
    </xf>
    <xf numFmtId="41" fontId="0" fillId="25" borderId="13" xfId="0" applyNumberFormat="1" applyFont="1" applyFill="1" applyBorder="1" applyAlignment="1">
      <alignment vertical="center"/>
    </xf>
    <xf numFmtId="41" fontId="0" fillId="25" borderId="0" xfId="0" applyNumberFormat="1" applyFont="1" applyFill="1" applyBorder="1" applyAlignment="1">
      <alignment horizontal="left" vertical="center" indent="1"/>
    </xf>
    <xf numFmtId="41" fontId="44" fillId="0" borderId="0" xfId="0" applyFont="1">
      <alignment vertical="center"/>
    </xf>
    <xf numFmtId="41" fontId="46" fillId="0" borderId="0" xfId="0" applyNumberFormat="1" applyFont="1" applyBorder="1" applyAlignment="1">
      <alignment vertical="center"/>
    </xf>
    <xf numFmtId="41" fontId="46" fillId="0" borderId="0" xfId="0" applyNumberFormat="1" applyFont="1" applyBorder="1" applyAlignment="1">
      <alignment horizontal="center" vertical="center"/>
    </xf>
    <xf numFmtId="41" fontId="46" fillId="0" borderId="0" xfId="0" applyNumberFormat="1" applyFont="1" applyBorder="1" applyAlignment="1">
      <alignment horizontal="left" vertical="center"/>
    </xf>
    <xf numFmtId="165" fontId="46" fillId="0" borderId="0" xfId="0" applyNumberFormat="1" applyFont="1" applyBorder="1" applyAlignment="1">
      <alignment vertical="center"/>
    </xf>
    <xf numFmtId="43" fontId="46" fillId="0" borderId="0" xfId="0" applyNumberFormat="1" applyFont="1" applyBorder="1" applyAlignment="1">
      <alignment vertical="center"/>
    </xf>
    <xf numFmtId="0" fontId="44" fillId="0" borderId="0" xfId="64" applyFont="1" applyAlignment="1">
      <alignment horizontal="center" vertical="center"/>
    </xf>
    <xf numFmtId="13" fontId="46" fillId="0" borderId="0" xfId="0" applyNumberFormat="1" applyFont="1" applyBorder="1" applyAlignment="1">
      <alignment vertical="center"/>
    </xf>
    <xf numFmtId="0" fontId="44" fillId="0" borderId="0" xfId="64" applyFont="1" applyAlignment="1">
      <alignment horizontal="left" vertical="center"/>
    </xf>
    <xf numFmtId="43" fontId="44" fillId="0" borderId="0" xfId="63" applyNumberFormat="1" applyFont="1" applyAlignment="1">
      <alignment vertical="center"/>
    </xf>
    <xf numFmtId="0" fontId="44" fillId="0" borderId="0" xfId="64" applyFont="1">
      <alignment vertical="center"/>
    </xf>
    <xf numFmtId="41" fontId="46" fillId="29" borderId="0" xfId="0" applyNumberFormat="1" applyFont="1" applyFill="1" applyBorder="1" applyAlignment="1">
      <alignment horizontal="center" vertical="center"/>
    </xf>
    <xf numFmtId="41" fontId="45" fillId="30" borderId="0" xfId="0" applyFont="1" applyFill="1" applyAlignment="1">
      <alignment horizontal="center" vertical="center"/>
    </xf>
    <xf numFmtId="41" fontId="45" fillId="29" borderId="0" xfId="0" applyFont="1" applyFill="1" applyAlignment="1">
      <alignment horizontal="center" vertical="center"/>
    </xf>
    <xf numFmtId="41" fontId="47" fillId="0" borderId="0" xfId="0" applyNumberFormat="1" applyFont="1" applyBorder="1" applyAlignment="1" applyProtection="1">
      <alignment vertical="center"/>
      <protection locked="0"/>
    </xf>
    <xf numFmtId="49" fontId="30" fillId="0" borderId="0" xfId="54" applyNumberFormat="1" applyFont="1" applyFill="1" applyAlignment="1">
      <alignment horizontal="center" vertical="top"/>
    </xf>
    <xf numFmtId="41" fontId="0" fillId="25" borderId="18" xfId="0" applyNumberFormat="1" applyFont="1" applyFill="1" applyBorder="1" applyAlignment="1">
      <alignment horizontal="left" vertical="top"/>
    </xf>
    <xf numFmtId="41" fontId="0" fillId="25" borderId="17" xfId="0" applyNumberFormat="1" applyFont="1" applyFill="1" applyBorder="1" applyAlignment="1">
      <alignment horizontal="left" vertical="top"/>
    </xf>
    <xf numFmtId="41" fontId="0" fillId="25" borderId="19" xfId="0" applyNumberFormat="1" applyFont="1" applyFill="1" applyBorder="1" applyAlignment="1">
      <alignment horizontal="left" vertical="top"/>
    </xf>
    <xf numFmtId="41" fontId="0" fillId="25" borderId="20" xfId="0" applyNumberFormat="1" applyFont="1" applyFill="1" applyBorder="1" applyAlignment="1">
      <alignment horizontal="left" vertical="top"/>
    </xf>
    <xf numFmtId="41" fontId="0" fillId="25" borderId="0" xfId="0" applyNumberFormat="1" applyFont="1" applyFill="1" applyBorder="1" applyAlignment="1">
      <alignment horizontal="left" vertical="top"/>
    </xf>
    <xf numFmtId="41" fontId="0" fillId="25" borderId="14" xfId="0" applyNumberFormat="1" applyFont="1" applyFill="1" applyBorder="1" applyAlignment="1">
      <alignment horizontal="left" vertical="top"/>
    </xf>
    <xf numFmtId="41" fontId="0" fillId="25" borderId="21" xfId="0" applyNumberFormat="1" applyFont="1" applyFill="1" applyBorder="1" applyAlignment="1">
      <alignment horizontal="left" vertical="top"/>
    </xf>
    <xf numFmtId="41" fontId="0" fillId="25" borderId="15" xfId="0" applyNumberFormat="1" applyFont="1" applyFill="1" applyBorder="1" applyAlignment="1">
      <alignment horizontal="left" vertical="top"/>
    </xf>
    <xf numFmtId="41" fontId="0" fillId="25" borderId="22" xfId="0" applyNumberFormat="1" applyFont="1" applyFill="1" applyBorder="1" applyAlignment="1">
      <alignment horizontal="left" vertical="top"/>
    </xf>
    <xf numFmtId="41" fontId="0" fillId="25" borderId="18" xfId="0" applyNumberFormat="1" applyFont="1" applyFill="1" applyBorder="1" applyAlignment="1" applyProtection="1">
      <alignment horizontal="left" vertical="top"/>
    </xf>
    <xf numFmtId="41" fontId="0" fillId="25" borderId="17" xfId="0" applyNumberFormat="1" applyFont="1" applyFill="1" applyBorder="1" applyAlignment="1" applyProtection="1">
      <alignment horizontal="left" vertical="top"/>
    </xf>
    <xf numFmtId="41" fontId="0" fillId="25" borderId="19" xfId="0" applyNumberFormat="1" applyFont="1" applyFill="1" applyBorder="1" applyAlignment="1" applyProtection="1">
      <alignment horizontal="left" vertical="top"/>
    </xf>
    <xf numFmtId="41" fontId="0" fillId="25" borderId="20" xfId="0" applyNumberFormat="1" applyFont="1" applyFill="1" applyBorder="1" applyAlignment="1" applyProtection="1">
      <alignment horizontal="left" vertical="top"/>
    </xf>
    <xf numFmtId="41" fontId="0" fillId="25" borderId="0" xfId="0" applyNumberFormat="1" applyFont="1" applyFill="1" applyBorder="1" applyAlignment="1" applyProtection="1">
      <alignment horizontal="left" vertical="top"/>
    </xf>
    <xf numFmtId="41" fontId="0" fillId="25" borderId="14" xfId="0" applyNumberFormat="1" applyFont="1" applyFill="1" applyBorder="1" applyAlignment="1" applyProtection="1">
      <alignment horizontal="left" vertical="top"/>
    </xf>
    <xf numFmtId="41" fontId="0" fillId="25" borderId="21" xfId="0" applyNumberFormat="1" applyFont="1" applyFill="1" applyBorder="1" applyAlignment="1" applyProtection="1">
      <alignment horizontal="left" vertical="top"/>
    </xf>
    <xf numFmtId="41" fontId="0" fillId="25" borderId="15" xfId="0" applyNumberFormat="1" applyFont="1" applyFill="1" applyBorder="1" applyAlignment="1" applyProtection="1">
      <alignment horizontal="left" vertical="top"/>
    </xf>
    <xf numFmtId="41" fontId="0" fillId="25" borderId="22" xfId="0" applyNumberFormat="1" applyFont="1" applyFill="1" applyBorder="1" applyAlignment="1" applyProtection="1">
      <alignment horizontal="left" vertical="top"/>
    </xf>
    <xf numFmtId="41" fontId="0" fillId="25" borderId="18" xfId="0" applyNumberFormat="1" applyFont="1" applyFill="1" applyBorder="1" applyAlignment="1">
      <alignment horizontal="left" vertical="top" wrapText="1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" xfId="28"/>
    <cellStyle name="Comma" xfId="63" builtinId="3"/>
    <cellStyle name="Comma [0] 2" xfId="29"/>
    <cellStyle name="Comma 2" xfId="30"/>
    <cellStyle name="Comma 3" xfId="31"/>
    <cellStyle name="Comma 4" xfId="32"/>
    <cellStyle name="Comma 5" xfId="33"/>
    <cellStyle name="Comma 6" xfId="34"/>
    <cellStyle name="Comma 7" xfId="35"/>
    <cellStyle name="Currency" xfId="36" builtinId="4"/>
    <cellStyle name="Currency [0] 2" xfId="37"/>
    <cellStyle name="Currency 2" xfId="38"/>
    <cellStyle name="Currency 3" xfId="39"/>
    <cellStyle name="Currency 4" xfId="40"/>
    <cellStyle name="Currency 5" xfId="41"/>
    <cellStyle name="Currency 6" xfId="42"/>
    <cellStyle name="Currency 7" xfId="43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/>
    <cellStyle name="Normal 3" xfId="54"/>
    <cellStyle name="Normal 4" xfId="64"/>
    <cellStyle name="Note" xfId="55" builtinId="10" customBuiltin="1"/>
    <cellStyle name="Output" xfId="56" builtinId="21" customBuiltin="1"/>
    <cellStyle name="Percent" xfId="57" builtinId="5"/>
    <cellStyle name="Percent 2" xfId="58"/>
    <cellStyle name="Text Column (No indent)" xfId="59"/>
    <cellStyle name="Title" xfId="60" builtinId="15" customBuiltin="1"/>
    <cellStyle name="Total" xfId="61" builtinId="25" customBuiltin="1"/>
    <cellStyle name="Warning Text" xfId="62" builtinId="11" customBuiltin="1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660033"/>
      <color rgb="FF003366"/>
      <color rgb="FF006600"/>
      <color rgb="FF0000FF"/>
      <color rgb="FF333399"/>
      <color rgb="FFCCCCFF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34188486742837E-2"/>
          <c:y val="7.0235716736291906E-2"/>
          <c:w val="0.6058605906365826"/>
          <c:h val="0.83889231549312826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DD7-4984-9ABF-9163C70F1E0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DD7-4984-9ABF-9163C70F1E04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DD7-4984-9ABF-9163C70F1E04}"/>
              </c:ext>
            </c:extLst>
          </c:dPt>
          <c:dPt>
            <c:idx val="3"/>
            <c:bubble3D val="0"/>
            <c:spPr>
              <a:solidFill>
                <a:srgbClr val="604A7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DD7-4984-9ABF-9163C70F1E04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DD7-4984-9ABF-9163C70F1E0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DD7-4984-9ABF-9163C70F1E04}"/>
              </c:ext>
            </c:extLst>
          </c:dPt>
          <c:dPt>
            <c:idx val="6"/>
            <c:bubble3D val="0"/>
            <c:spPr>
              <a:solidFill>
                <a:srgbClr val="99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DD7-4984-9ABF-9163C70F1E04}"/>
              </c:ext>
            </c:extLst>
          </c:dPt>
          <c:dPt>
            <c:idx val="7"/>
            <c:bubble3D val="0"/>
            <c:spPr>
              <a:solidFill>
                <a:srgbClr val="E46C0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DD7-4984-9ABF-9163C70F1E04}"/>
              </c:ext>
            </c:extLst>
          </c:dPt>
          <c:dPt>
            <c:idx val="8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DD7-4984-9ABF-9163C70F1E04}"/>
              </c:ext>
            </c:extLst>
          </c:dPt>
          <c:cat>
            <c:strRef>
              <c:f>'Data Input'!$B$10:$B$18</c:f>
              <c:strCache>
                <c:ptCount val="9"/>
                <c:pt idx="0">
                  <c:v>Taxes</c:v>
                </c:pt>
                <c:pt idx="1">
                  <c:v>Licenses &amp; Permits</c:v>
                </c:pt>
                <c:pt idx="2">
                  <c:v>Federal Government</c:v>
                </c:pt>
                <c:pt idx="3">
                  <c:v>State Government</c:v>
                </c:pt>
                <c:pt idx="4">
                  <c:v>Local Contributions</c:v>
                </c:pt>
                <c:pt idx="5">
                  <c:v>Charges for Services</c:v>
                </c:pt>
                <c:pt idx="6">
                  <c:v>Fines &amp; Forfeitures</c:v>
                </c:pt>
                <c:pt idx="7">
                  <c:v>Interest &amp; Rents</c:v>
                </c:pt>
                <c:pt idx="8">
                  <c:v>Other Revenues</c:v>
                </c:pt>
              </c:strCache>
            </c:strRef>
          </c:cat>
          <c:val>
            <c:numRef>
              <c:f>'Data Input'!$H$10:$H$18</c:f>
              <c:numCache>
                <c:formatCode>_(* #,##0_);_(* \(#,##0\);_(* "-"_);_(@_)</c:formatCode>
                <c:ptCount val="9"/>
                <c:pt idx="0">
                  <c:v>125036674.05999999</c:v>
                </c:pt>
                <c:pt idx="1">
                  <c:v>851232.9</c:v>
                </c:pt>
                <c:pt idx="2">
                  <c:v>15783216.609999999</c:v>
                </c:pt>
                <c:pt idx="3">
                  <c:v>48440709.759999998</c:v>
                </c:pt>
                <c:pt idx="4">
                  <c:v>0</c:v>
                </c:pt>
                <c:pt idx="5">
                  <c:v>43089982.390000001</c:v>
                </c:pt>
                <c:pt idx="6">
                  <c:v>825447.66</c:v>
                </c:pt>
                <c:pt idx="7">
                  <c:v>14129248.74</c:v>
                </c:pt>
                <c:pt idx="8">
                  <c:v>88719282.239999995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DD7-4984-9ABF-9163C70F1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05797621284323"/>
          <c:y val="0.14271564902827388"/>
          <c:w val="0.32005089581193646"/>
          <c:h val="0.727730015539545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41535280670785"/>
          <c:y val="6.7567567567567571E-2"/>
          <c:w val="0.80958464719329215"/>
          <c:h val="0.76641744497563313"/>
        </c:manualLayout>
      </c:layout>
      <c:lineChart>
        <c:grouping val="standard"/>
        <c:varyColors val="0"/>
        <c:ser>
          <c:idx val="0"/>
          <c:order val="0"/>
          <c:tx>
            <c:strRef>
              <c:f>'Data Input'!$B$47</c:f>
              <c:strCache>
                <c:ptCount val="1"/>
                <c:pt idx="0">
                  <c:v>Assets</c:v>
                </c:pt>
              </c:strCache>
            </c:strRef>
          </c:tx>
          <c:spPr>
            <a:ln w="28575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'Data Input'!$D$46:$H$46</c:f>
              <c:numCache>
                <c:formatCode>m/d/yyyy</c:formatCode>
                <c:ptCount val="5"/>
                <c:pt idx="0">
                  <c:v>41273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</c:numCache>
            </c:numRef>
          </c:cat>
          <c:val>
            <c:numRef>
              <c:f>'Data Input'!$D$47:$H$47</c:f>
              <c:numCache>
                <c:formatCode>_(* #,##0_);_(* \(#,##0\);_(* "-"_);_(@_)</c:formatCode>
                <c:ptCount val="5"/>
                <c:pt idx="0">
                  <c:v>644210465</c:v>
                </c:pt>
                <c:pt idx="1">
                  <c:v>693348539</c:v>
                </c:pt>
                <c:pt idx="2">
                  <c:v>746298467</c:v>
                </c:pt>
                <c:pt idx="3">
                  <c:v>771969061</c:v>
                </c:pt>
                <c:pt idx="4">
                  <c:v>788089260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D5B-4E12-84C9-B5B5E486EB3B}"/>
            </c:ext>
          </c:extLst>
        </c:ser>
        <c:ser>
          <c:idx val="1"/>
          <c:order val="1"/>
          <c:tx>
            <c:strRef>
              <c:f>'Data Input'!$B$48</c:f>
              <c:strCache>
                <c:ptCount val="1"/>
                <c:pt idx="0">
                  <c:v>Actuarial Liability</c:v>
                </c:pt>
              </c:strCache>
            </c:strRef>
          </c:tx>
          <c:spPr>
            <a:ln w="28575">
              <a:solidFill>
                <a:srgbClr val="660033"/>
              </a:solidFill>
              <a:prstDash val="solid"/>
            </a:ln>
          </c:spPr>
          <c:marker>
            <c:symbol val="none"/>
          </c:marker>
          <c:cat>
            <c:numRef>
              <c:f>'Data Input'!$D$46:$H$46</c:f>
              <c:numCache>
                <c:formatCode>m/d/yyyy</c:formatCode>
                <c:ptCount val="5"/>
                <c:pt idx="0">
                  <c:v>41273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</c:numCache>
            </c:numRef>
          </c:cat>
          <c:val>
            <c:numRef>
              <c:f>'Data Input'!$D$48:$H$48</c:f>
              <c:numCache>
                <c:formatCode>_(* #,##0_);_(* \(#,##0\);_(* "-"_);_(@_)</c:formatCode>
                <c:ptCount val="5"/>
                <c:pt idx="0">
                  <c:v>678725155</c:v>
                </c:pt>
                <c:pt idx="1">
                  <c:v>717437965</c:v>
                </c:pt>
                <c:pt idx="2">
                  <c:v>743093569</c:v>
                </c:pt>
                <c:pt idx="3">
                  <c:v>803932291</c:v>
                </c:pt>
                <c:pt idx="4">
                  <c:v>832554668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D5B-4E12-84C9-B5B5E486E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19680"/>
        <c:axId val="561820072"/>
      </c:lineChart>
      <c:catAx>
        <c:axId val="561819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820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18200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819680"/>
        <c:crosses val="autoZero"/>
        <c:crossBetween val="between"/>
        <c:dispUnits>
          <c:builtInUnit val="millions"/>
          <c:dispUnits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65746049115462"/>
          <c:y val="0.92958625626342162"/>
          <c:w val="0.63861106485556374"/>
          <c:h val="6.1766642806012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72884128351076"/>
          <c:y val="5.871353261883798E-2"/>
          <c:w val="0.83427115871648905"/>
          <c:h val="0.77406349297799781"/>
        </c:manualLayout>
      </c:layout>
      <c:lineChart>
        <c:grouping val="standard"/>
        <c:varyColors val="0"/>
        <c:ser>
          <c:idx val="0"/>
          <c:order val="0"/>
          <c:tx>
            <c:strRef>
              <c:f>'Data Input'!$B$53</c:f>
              <c:strCache>
                <c:ptCount val="1"/>
                <c:pt idx="0">
                  <c:v>Assets</c:v>
                </c:pt>
              </c:strCache>
            </c:strRef>
          </c:tx>
          <c:spPr>
            <a:ln w="28575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'Data Input'!$D$52:$H$52</c:f>
              <c:numCache>
                <c:formatCode>m/d/yyyy</c:formatCode>
                <c:ptCount val="5"/>
                <c:pt idx="0">
                  <c:v>41273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</c:numCache>
            </c:numRef>
          </c:cat>
          <c:val>
            <c:numRef>
              <c:f>'Data Input'!$D$53:$H$53</c:f>
              <c:numCache>
                <c:formatCode>_(* #,##0_);_(* \(#,##0\);_(* "-"_);_(@_)</c:formatCode>
                <c:ptCount val="5"/>
                <c:pt idx="0">
                  <c:v>12605625</c:v>
                </c:pt>
                <c:pt idx="1">
                  <c:v>15178339</c:v>
                </c:pt>
                <c:pt idx="2">
                  <c:v>16705220</c:v>
                </c:pt>
                <c:pt idx="3">
                  <c:v>17140234</c:v>
                </c:pt>
                <c:pt idx="4">
                  <c:v>19656145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387-40F7-AD42-F54D12A6FB82}"/>
            </c:ext>
          </c:extLst>
        </c:ser>
        <c:ser>
          <c:idx val="1"/>
          <c:order val="1"/>
          <c:tx>
            <c:strRef>
              <c:f>'Data Input'!$B$54</c:f>
              <c:strCache>
                <c:ptCount val="1"/>
                <c:pt idx="0">
                  <c:v>Actuarial Liability</c:v>
                </c:pt>
              </c:strCache>
            </c:strRef>
          </c:tx>
          <c:spPr>
            <a:ln w="28575">
              <a:solidFill>
                <a:srgbClr val="660033"/>
              </a:solidFill>
              <a:prstDash val="solid"/>
            </a:ln>
          </c:spPr>
          <c:marker>
            <c:symbol val="none"/>
          </c:marker>
          <c:cat>
            <c:numRef>
              <c:f>'Data Input'!$D$52:$H$52</c:f>
              <c:numCache>
                <c:formatCode>m/d/yyyy</c:formatCode>
                <c:ptCount val="5"/>
                <c:pt idx="0">
                  <c:v>41273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</c:numCache>
            </c:numRef>
          </c:cat>
          <c:val>
            <c:numRef>
              <c:f>'Data Input'!$D$54:$H$54</c:f>
              <c:numCache>
                <c:formatCode>_(* #,##0_);_(* \(#,##0\);_(* "-"_);_(@_)</c:formatCode>
                <c:ptCount val="5"/>
                <c:pt idx="0">
                  <c:v>48975067</c:v>
                </c:pt>
                <c:pt idx="1">
                  <c:v>50174616</c:v>
                </c:pt>
                <c:pt idx="2">
                  <c:v>52899776</c:v>
                </c:pt>
                <c:pt idx="3">
                  <c:v>55167726</c:v>
                </c:pt>
                <c:pt idx="4">
                  <c:v>53997661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387-40F7-AD42-F54D12A6F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20856"/>
        <c:axId val="561821248"/>
      </c:lineChart>
      <c:catAx>
        <c:axId val="5618208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82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18212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820856"/>
        <c:crosses val="autoZero"/>
        <c:crossBetween val="between"/>
        <c:dispUnits>
          <c:builtInUnit val="millions"/>
          <c:dispUnits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23113968552096"/>
          <c:y val="0.92032132347092976"/>
          <c:w val="0.6446820294252209"/>
          <c:h val="6.1766642806012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9547473880942"/>
          <c:y val="6.6666984808717092E-2"/>
          <c:w val="0.62948517622067668"/>
          <c:h val="0.83000270183171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Input'!$A$68:$B$68</c:f>
              <c:strCache>
                <c:ptCount val="2"/>
                <c:pt idx="0">
                  <c:v>Structured Debt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Input'!$D$5:$H$5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Input'!$D$68:$H$68</c:f>
              <c:numCache>
                <c:formatCode>_(* #,##0_);_(* \(#,##0\);_(* "-"_);_(@_)</c:formatCode>
                <c:ptCount val="5"/>
                <c:pt idx="0">
                  <c:v>362882849</c:v>
                </c:pt>
                <c:pt idx="1">
                  <c:v>344329864</c:v>
                </c:pt>
                <c:pt idx="2">
                  <c:v>329447153</c:v>
                </c:pt>
                <c:pt idx="3">
                  <c:v>337437586</c:v>
                </c:pt>
                <c:pt idx="4">
                  <c:v>161601124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F73-4FDA-B5EC-BE29FA9A7F70}"/>
            </c:ext>
          </c:extLst>
        </c:ser>
        <c:ser>
          <c:idx val="1"/>
          <c:order val="1"/>
          <c:tx>
            <c:strRef>
              <c:f>'Data Input'!$A$69:$B$69</c:f>
              <c:strCache>
                <c:ptCount val="2"/>
                <c:pt idx="0">
                  <c:v>Employee Compensated Absences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numRef>
              <c:f>'Data Input'!$D$5:$H$5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Input'!$D$69:$H$69</c:f>
              <c:numCache>
                <c:formatCode>_(* #,##0_);_(* \(#,##0\);_(* "-"_);_(@_)</c:formatCode>
                <c:ptCount val="5"/>
                <c:pt idx="0">
                  <c:v>4640992</c:v>
                </c:pt>
                <c:pt idx="1">
                  <c:v>4742622</c:v>
                </c:pt>
                <c:pt idx="2">
                  <c:v>4826509</c:v>
                </c:pt>
                <c:pt idx="3">
                  <c:v>4918561</c:v>
                </c:pt>
                <c:pt idx="4">
                  <c:v>4941021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F73-4FDA-B5EC-BE29FA9A7F70}"/>
            </c:ext>
          </c:extLst>
        </c:ser>
        <c:ser>
          <c:idx val="2"/>
          <c:order val="2"/>
          <c:tx>
            <c:strRef>
              <c:f>'Data Input'!$A$70:$B$70</c:f>
              <c:strCache>
                <c:ptCount val="2"/>
                <c:pt idx="0">
                  <c:v>Landfill Closure &amp; Postclosure Care</c:v>
                </c:pt>
              </c:strCache>
            </c:strRef>
          </c:tx>
          <c:spPr>
            <a:solidFill>
              <a:srgbClr val="BFBFBF"/>
            </a:solidFill>
            <a:ln w="25400">
              <a:noFill/>
            </a:ln>
          </c:spPr>
          <c:invertIfNegative val="1"/>
          <c:cat>
            <c:numRef>
              <c:f>'Data Input'!$D$5:$H$5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Input'!$D$70:$H$70</c:f>
              <c:numCache>
                <c:formatCode>_(* #,##0_);_(* \(#,##0\);_(* "-"_);_(@_)</c:formatCode>
                <c:ptCount val="5"/>
                <c:pt idx="0">
                  <c:v>19899309</c:v>
                </c:pt>
                <c:pt idx="1">
                  <c:v>20764495</c:v>
                </c:pt>
                <c:pt idx="2">
                  <c:v>21970485</c:v>
                </c:pt>
                <c:pt idx="3">
                  <c:v>23034061</c:v>
                </c:pt>
                <c:pt idx="4">
                  <c:v>27310304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F73-4FDA-B5EC-BE29FA9A7F70}"/>
            </c:ext>
          </c:extLst>
        </c:ser>
        <c:ser>
          <c:idx val="3"/>
          <c:order val="3"/>
          <c:tx>
            <c:strRef>
              <c:f>'Data Input'!$A$71:$B$71</c:f>
              <c:strCache>
                <c:ptCount val="2"/>
                <c:pt idx="0">
                  <c:v>Uninsured Losses</c:v>
                </c:pt>
              </c:strCache>
            </c:strRef>
          </c:tx>
          <c:spPr>
            <a:solidFill>
              <a:srgbClr val="006600"/>
            </a:solidFill>
            <a:ln w="25400">
              <a:noFill/>
            </a:ln>
          </c:spPr>
          <c:invertIfNegative val="1"/>
          <c:cat>
            <c:numRef>
              <c:f>'Data Input'!$D$5:$H$5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Input'!$D$71:$H$71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7F73-4FDA-B5EC-BE29FA9A7F70}"/>
            </c:ext>
          </c:extLst>
        </c:ser>
        <c:ser>
          <c:idx val="4"/>
          <c:order val="4"/>
          <c:tx>
            <c:strRef>
              <c:f>'Data Input'!$A$72:$B$72</c:f>
              <c:strCache>
                <c:ptCount val="2"/>
                <c:pt idx="0">
                  <c:v>Other Claims &amp; Contingencies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1"/>
          <c:cat>
            <c:numRef>
              <c:f>'Data Input'!$D$5:$H$5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Input'!$D$72:$H$72</c:f>
              <c:numCache>
                <c:formatCode>_(* #,##0_);_(* \(#,##0\);_(* "-"_);_(@_)</c:formatCode>
                <c:ptCount val="5"/>
                <c:pt idx="0">
                  <c:v>30928</c:v>
                </c:pt>
                <c:pt idx="1">
                  <c:v>30928</c:v>
                </c:pt>
                <c:pt idx="2">
                  <c:v>30928</c:v>
                </c:pt>
                <c:pt idx="3">
                  <c:v>30928</c:v>
                </c:pt>
                <c:pt idx="4">
                  <c:v>30928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7F73-4FDA-B5EC-BE29FA9A7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514752"/>
        <c:axId val="101515144"/>
      </c:barChart>
      <c:catAx>
        <c:axId val="10151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15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5151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14752"/>
        <c:crosses val="autoZero"/>
        <c:crossBetween val="between"/>
        <c:dispUnits>
          <c:builtInUnit val="millions"/>
          <c:dispUnits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784797328349518"/>
          <c:y val="0.12353296746997534"/>
          <c:w val="0.22209912476893695"/>
          <c:h val="0.802964765767915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0126950449979E-2"/>
          <c:y val="6.6666983847562866E-2"/>
          <c:w val="0.66919671094244149"/>
          <c:h val="0.83000270183171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Input'!$A$68</c:f>
              <c:strCache>
                <c:ptCount val="1"/>
                <c:pt idx="0">
                  <c:v>Structured Debt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Input'!$I$5:$J$5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Input'!$I$68:$J$68</c:f>
              <c:numCache>
                <c:formatCode>_(* #,##0_);_(* \(#,##0\);_(* "-"_);_(@_)</c:formatCode>
                <c:ptCount val="2"/>
                <c:pt idx="0">
                  <c:v>530.25</c:v>
                </c:pt>
                <c:pt idx="1">
                  <c:v>251.65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A50-4097-B935-78E764030E5D}"/>
            </c:ext>
          </c:extLst>
        </c:ser>
        <c:ser>
          <c:idx val="1"/>
          <c:order val="1"/>
          <c:tx>
            <c:strRef>
              <c:f>'Data Input'!$A$69</c:f>
              <c:strCache>
                <c:ptCount val="1"/>
                <c:pt idx="0">
                  <c:v>Employee Compensated Absences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numRef>
              <c:f>'Data Input'!$I$5:$J$5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Input'!$I$69:$J$69</c:f>
              <c:numCache>
                <c:formatCode>_(* #,##0_);_(* \(#,##0\);_(* "-"_);_(@_)</c:formatCode>
                <c:ptCount val="2"/>
                <c:pt idx="0">
                  <c:v>7.73</c:v>
                </c:pt>
                <c:pt idx="1">
                  <c:v>7.69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A50-4097-B935-78E764030E5D}"/>
            </c:ext>
          </c:extLst>
        </c:ser>
        <c:ser>
          <c:idx val="2"/>
          <c:order val="2"/>
          <c:tx>
            <c:strRef>
              <c:f>'Data Input'!$A$70</c:f>
              <c:strCache>
                <c:ptCount val="1"/>
                <c:pt idx="0">
                  <c:v>Landfill Closure &amp; Postclosure Care</c:v>
                </c:pt>
              </c:strCache>
            </c:strRef>
          </c:tx>
          <c:spPr>
            <a:solidFill>
              <a:srgbClr val="BFBFBF"/>
            </a:solidFill>
            <a:ln w="25400">
              <a:noFill/>
            </a:ln>
          </c:spPr>
          <c:invertIfNegative val="1"/>
          <c:cat>
            <c:numRef>
              <c:f>'Data Input'!$I$5:$J$5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Input'!$I$70:$J$70</c:f>
              <c:numCache>
                <c:formatCode>_(* #,##0_);_(* \(#,##0\);_(* "-"_);_(@_)</c:formatCode>
                <c:ptCount val="2"/>
                <c:pt idx="0">
                  <c:v>36.200000000000003</c:v>
                </c:pt>
                <c:pt idx="1">
                  <c:v>42.53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A50-4097-B935-78E764030E5D}"/>
            </c:ext>
          </c:extLst>
        </c:ser>
        <c:ser>
          <c:idx val="3"/>
          <c:order val="3"/>
          <c:tx>
            <c:strRef>
              <c:f>'Data Input'!$A$71</c:f>
              <c:strCache>
                <c:ptCount val="1"/>
                <c:pt idx="0">
                  <c:v>Uninsured Losses</c:v>
                </c:pt>
              </c:strCache>
            </c:strRef>
          </c:tx>
          <c:spPr>
            <a:solidFill>
              <a:srgbClr val="006600"/>
            </a:solidFill>
            <a:ln w="25400">
              <a:noFill/>
            </a:ln>
          </c:spPr>
          <c:invertIfNegative val="1"/>
          <c:cat>
            <c:numRef>
              <c:f>'Data Input'!$I$5:$J$5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Input'!$I$71:$J$71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AA50-4097-B935-78E764030E5D}"/>
            </c:ext>
          </c:extLst>
        </c:ser>
        <c:ser>
          <c:idx val="4"/>
          <c:order val="4"/>
          <c:tx>
            <c:strRef>
              <c:f>'Data Input'!$A$72</c:f>
              <c:strCache>
                <c:ptCount val="1"/>
                <c:pt idx="0">
                  <c:v>Other Claims &amp; Contingencies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1"/>
          <c:cat>
            <c:numRef>
              <c:f>'Data Input'!$I$5:$J$5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Input'!$I$72:$J$72</c:f>
              <c:numCache>
                <c:formatCode>_(* #,##0_);_(* \(#,##0\);_(* "-"_);_(@_)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AA50-4097-B935-78E764030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515928"/>
        <c:axId val="247942624"/>
      </c:barChart>
      <c:catAx>
        <c:axId val="10151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794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794262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159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04310538032837"/>
          <c:y val="0.14645574137069725"/>
          <c:w val="0.22704318506676233"/>
          <c:h val="0.765662947720658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01071385780046"/>
          <c:y val="6.6889632107023408E-2"/>
          <c:w val="0.86807499700460322"/>
          <c:h val="0.69230769230769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Input'!$G$46</c:f>
              <c:strCache>
                <c:ptCount val="1"/>
                <c:pt idx="0">
                  <c:v>12/31/2015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strRef>
              <c:f>('Data Input'!$A$45,'Data Input'!$A$51,'Data Input'!$A$57)</c:f>
              <c:strCache>
                <c:ptCount val="3"/>
                <c:pt idx="0">
                  <c:v>Pensions</c:v>
                </c:pt>
                <c:pt idx="1">
                  <c:v>OPEB</c:v>
                </c:pt>
                <c:pt idx="2">
                  <c:v>Sum of All Pension &amp; OPEB Plans</c:v>
                </c:pt>
              </c:strCache>
            </c:strRef>
          </c:cat>
          <c:val>
            <c:numRef>
              <c:f>('Data Input'!$G$50,'Data Input'!$G$56,'Data Input'!$G$61)</c:f>
              <c:numCache>
                <c:formatCode>0%</c:formatCode>
                <c:ptCount val="3"/>
                <c:pt idx="0">
                  <c:v>0.96024139052775026</c:v>
                </c:pt>
                <c:pt idx="1">
                  <c:v>0.31069313968097945</c:v>
                </c:pt>
                <c:pt idx="2">
                  <c:v>0.91853018203350822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FCB-4643-A0EC-924C626E3FE4}"/>
            </c:ext>
          </c:extLst>
        </c:ser>
        <c:ser>
          <c:idx val="1"/>
          <c:order val="1"/>
          <c:tx>
            <c:strRef>
              <c:f>'Data Input'!$H$46</c:f>
              <c:strCache>
                <c:ptCount val="1"/>
                <c:pt idx="0">
                  <c:v>12/31/2016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strRef>
              <c:f>('Data Input'!$A$45,'Data Input'!$A$51,'Data Input'!$A$57)</c:f>
              <c:strCache>
                <c:ptCount val="3"/>
                <c:pt idx="0">
                  <c:v>Pensions</c:v>
                </c:pt>
                <c:pt idx="1">
                  <c:v>OPEB</c:v>
                </c:pt>
                <c:pt idx="2">
                  <c:v>Sum of All Pension &amp; OPEB Plans</c:v>
                </c:pt>
              </c:strCache>
            </c:strRef>
          </c:cat>
          <c:val>
            <c:numRef>
              <c:f>('Data Input'!$H$50,'Data Input'!$H$56,'Data Input'!$H$61)</c:f>
              <c:numCache>
                <c:formatCode>0%</c:formatCode>
                <c:ptCount val="3"/>
                <c:pt idx="0">
                  <c:v>0.94659160568180256</c:v>
                </c:pt>
                <c:pt idx="1">
                  <c:v>0.36401845257704774</c:v>
                </c:pt>
                <c:pt idx="2">
                  <c:v>0.91110854777304406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FCB-4643-A0EC-924C626E3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943408"/>
        <c:axId val="247943800"/>
      </c:barChart>
      <c:catAx>
        <c:axId val="24794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7943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79438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7943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894701486852402"/>
          <c:y val="0.86996912619965061"/>
          <c:w val="0.52645101420369944"/>
          <c:h val="7.43032652833289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088003370512E-2"/>
          <c:y val="4.8889238845144359E-2"/>
          <c:w val="0.88610700235138729"/>
          <c:h val="0.5033347914843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Input'!$I$5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strRef>
              <c:f>'Data Input'!$B$10:$B$19</c:f>
              <c:strCache>
                <c:ptCount val="10"/>
                <c:pt idx="0">
                  <c:v>Taxes</c:v>
                </c:pt>
                <c:pt idx="1">
                  <c:v>Licenses &amp; Permits</c:v>
                </c:pt>
                <c:pt idx="2">
                  <c:v>Federal Government</c:v>
                </c:pt>
                <c:pt idx="3">
                  <c:v>State Government</c:v>
                </c:pt>
                <c:pt idx="4">
                  <c:v>Local Contributions</c:v>
                </c:pt>
                <c:pt idx="5">
                  <c:v>Charges for Services</c:v>
                </c:pt>
                <c:pt idx="6">
                  <c:v>Fines &amp; Forfeitures</c:v>
                </c:pt>
                <c:pt idx="7">
                  <c:v>Interest &amp; Rents</c:v>
                </c:pt>
                <c:pt idx="8">
                  <c:v>Other Revenues</c:v>
                </c:pt>
                <c:pt idx="9">
                  <c:v>Total Revenues</c:v>
                </c:pt>
              </c:strCache>
            </c:strRef>
          </c:cat>
          <c:val>
            <c:numRef>
              <c:f>'Data Input'!$I$10:$I$18</c:f>
              <c:numCache>
                <c:formatCode>_(* #,##0_);_(* \(#,##0\);_(* "-"_);_(@_)</c:formatCode>
                <c:ptCount val="9"/>
                <c:pt idx="0">
                  <c:v>190.43</c:v>
                </c:pt>
                <c:pt idx="1">
                  <c:v>3.92</c:v>
                </c:pt>
                <c:pt idx="2">
                  <c:v>29.67</c:v>
                </c:pt>
                <c:pt idx="3">
                  <c:v>77.06</c:v>
                </c:pt>
                <c:pt idx="4">
                  <c:v>2.56</c:v>
                </c:pt>
                <c:pt idx="5">
                  <c:v>47.1</c:v>
                </c:pt>
                <c:pt idx="6">
                  <c:v>1.1200000000000001</c:v>
                </c:pt>
                <c:pt idx="7">
                  <c:v>21.84</c:v>
                </c:pt>
                <c:pt idx="8">
                  <c:v>138.80000000000001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0D1-46EA-852A-2A2B6DEEC748}"/>
            </c:ext>
          </c:extLst>
        </c:ser>
        <c:ser>
          <c:idx val="1"/>
          <c:order val="1"/>
          <c:tx>
            <c:strRef>
              <c:f>'Data Input'!$J$5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strRef>
              <c:f>'Data Input'!$B$10:$B$19</c:f>
              <c:strCache>
                <c:ptCount val="10"/>
                <c:pt idx="0">
                  <c:v>Taxes</c:v>
                </c:pt>
                <c:pt idx="1">
                  <c:v>Licenses &amp; Permits</c:v>
                </c:pt>
                <c:pt idx="2">
                  <c:v>Federal Government</c:v>
                </c:pt>
                <c:pt idx="3">
                  <c:v>State Government</c:v>
                </c:pt>
                <c:pt idx="4">
                  <c:v>Local Contributions</c:v>
                </c:pt>
                <c:pt idx="5">
                  <c:v>Charges for Services</c:v>
                </c:pt>
                <c:pt idx="6">
                  <c:v>Fines &amp; Forfeitures</c:v>
                </c:pt>
                <c:pt idx="7">
                  <c:v>Interest &amp; Rents</c:v>
                </c:pt>
                <c:pt idx="8">
                  <c:v>Other Revenues</c:v>
                </c:pt>
                <c:pt idx="9">
                  <c:v>Total Revenues</c:v>
                </c:pt>
              </c:strCache>
            </c:strRef>
          </c:cat>
          <c:val>
            <c:numRef>
              <c:f>'Data Input'!$J$10:$J$18</c:f>
              <c:numCache>
                <c:formatCode>_(* #,##0_);_(* \(#,##0\);_(* "-"_);_(@_)</c:formatCode>
                <c:ptCount val="9"/>
                <c:pt idx="0">
                  <c:v>194.71</c:v>
                </c:pt>
                <c:pt idx="1">
                  <c:v>1.33</c:v>
                </c:pt>
                <c:pt idx="2">
                  <c:v>24.58</c:v>
                </c:pt>
                <c:pt idx="3">
                  <c:v>75.430000000000007</c:v>
                </c:pt>
                <c:pt idx="4">
                  <c:v>0</c:v>
                </c:pt>
                <c:pt idx="5">
                  <c:v>67.099999999999994</c:v>
                </c:pt>
                <c:pt idx="6">
                  <c:v>1.29</c:v>
                </c:pt>
                <c:pt idx="7">
                  <c:v>22</c:v>
                </c:pt>
                <c:pt idx="8">
                  <c:v>138.15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0D1-46EA-852A-2A2B6DEEC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557952"/>
        <c:axId val="444558344"/>
      </c:barChart>
      <c:catAx>
        <c:axId val="4445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4558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4558344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4557952"/>
        <c:crosses val="autoZero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3450621933127925"/>
          <c:y val="0.9106071741032371"/>
          <c:w val="0.22679105329225152"/>
          <c:h val="7.0046544181977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81175626021927"/>
          <c:y val="0.12791125969588996"/>
          <c:w val="0.86078839096898896"/>
          <c:h val="0.76806346134107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Input'!$B$87</c:f>
              <c:strCache>
                <c:ptCount val="1"/>
                <c:pt idx="0">
                  <c:v> Taxes 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Input'!$D$5:$H$5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Input'!$D$87:$H$87</c:f>
              <c:numCache>
                <c:formatCode>_(* #,##0_);_(* \(#,##0\);_(* "-"_);_(@_)</c:formatCode>
                <c:ptCount val="5"/>
                <c:pt idx="0">
                  <c:v>111637176</c:v>
                </c:pt>
                <c:pt idx="1">
                  <c:v>111501894</c:v>
                </c:pt>
                <c:pt idx="2">
                  <c:v>114062260</c:v>
                </c:pt>
                <c:pt idx="3">
                  <c:v>121181802</c:v>
                </c:pt>
                <c:pt idx="4">
                  <c:v>125036674.05999999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95C-4B30-9471-A8840E287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559128"/>
        <c:axId val="284410392"/>
      </c:barChart>
      <c:catAx>
        <c:axId val="44455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410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4103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45591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5.0426400881151724E-3"/>
                <c:y val="0.11373861786829718"/>
              </c:manualLayout>
            </c:layout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81057221917255E-2"/>
          <c:y val="5.3280182181621956E-2"/>
          <c:w val="0.56384097121708765"/>
          <c:h val="0.89811219638561279"/>
        </c:manualLayout>
      </c:layout>
      <c:pieChart>
        <c:varyColors val="0"/>
        <c:ser>
          <c:idx val="0"/>
          <c:order val="0"/>
          <c:dPt>
            <c:idx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01-8367-4E55-9298-BFA2C3A035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8367-4E55-9298-BFA2C3A03529}"/>
              </c:ext>
            </c:extLst>
          </c:dPt>
          <c:dPt>
            <c:idx val="2"/>
            <c:bubble3D val="0"/>
            <c:spPr>
              <a:solidFill>
                <a:srgbClr val="E46C0A"/>
              </a:solidFill>
            </c:spPr>
            <c:extLst>
              <c:ext xmlns:c16="http://schemas.microsoft.com/office/drawing/2014/chart" uri="{C3380CC4-5D6E-409C-BE32-E72D297353CC}">
                <c16:uniqueId val="{00000004-8367-4E55-9298-BFA2C3A03529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8367-4E55-9298-BFA2C3A03529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8-8367-4E55-9298-BFA2C3A0352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8367-4E55-9298-BFA2C3A03529}"/>
              </c:ext>
            </c:extLst>
          </c:dPt>
          <c:dPt>
            <c:idx val="6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B-8367-4E55-9298-BFA2C3A03529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8367-4E55-9298-BFA2C3A03529}"/>
              </c:ext>
            </c:extLst>
          </c:dPt>
          <c:dPt>
            <c:idx val="8"/>
            <c:bubble3D val="0"/>
            <c:spPr>
              <a:solidFill>
                <a:srgbClr val="339966"/>
              </a:solidFill>
            </c:spPr>
            <c:extLst>
              <c:ext xmlns:c16="http://schemas.microsoft.com/office/drawing/2014/chart" uri="{C3380CC4-5D6E-409C-BE32-E72D297353CC}">
                <c16:uniqueId val="{0000000F-8367-4E55-9298-BFA2C3A03529}"/>
              </c:ext>
            </c:extLst>
          </c:dPt>
          <c:dPt>
            <c:idx val="9"/>
            <c:bubble3D val="0"/>
            <c:spPr>
              <a:solidFill>
                <a:srgbClr val="B8A9CB"/>
              </a:solidFill>
            </c:spPr>
            <c:extLst>
              <c:ext xmlns:c16="http://schemas.microsoft.com/office/drawing/2014/chart" uri="{C3380CC4-5D6E-409C-BE32-E72D297353CC}">
                <c16:uniqueId val="{00000011-8367-4E55-9298-BFA2C3A03529}"/>
              </c:ext>
            </c:extLst>
          </c:dPt>
          <c:dPt>
            <c:idx val="10"/>
            <c:bubble3D val="0"/>
            <c:spPr>
              <a:solidFill>
                <a:srgbClr val="C3D69B"/>
              </a:solidFill>
            </c:spPr>
            <c:extLst>
              <c:ext xmlns:c16="http://schemas.microsoft.com/office/drawing/2014/chart" uri="{C3380CC4-5D6E-409C-BE32-E72D297353CC}">
                <c16:uniqueId val="{00000013-8367-4E55-9298-BFA2C3A03529}"/>
              </c:ext>
            </c:extLst>
          </c:dPt>
          <c:cat>
            <c:strRef>
              <c:f>'Data Input'!$B$21:$B$31</c:f>
              <c:strCache>
                <c:ptCount val="8"/>
                <c:pt idx="0">
                  <c:v>General Government</c:v>
                </c:pt>
                <c:pt idx="1">
                  <c:v>Police &amp; Fire</c:v>
                </c:pt>
                <c:pt idx="2">
                  <c:v>Health &amp; Welfare</c:v>
                </c:pt>
                <c:pt idx="3">
                  <c:v>Community &amp; Econ Development</c:v>
                </c:pt>
                <c:pt idx="4">
                  <c:v>Recreation &amp; Culture</c:v>
                </c:pt>
                <c:pt idx="5">
                  <c:v>Capital Outlay</c:v>
                </c:pt>
                <c:pt idx="6">
                  <c:v>Debt Service</c:v>
                </c:pt>
                <c:pt idx="7">
                  <c:v>Other Expenditures</c:v>
                </c:pt>
              </c:strCache>
            </c:strRef>
          </c:cat>
          <c:val>
            <c:numRef>
              <c:f>'Data Input'!$H$21:$H$31</c:f>
              <c:numCache>
                <c:formatCode>_(* #,##0_);_(* \(#,##0\);_(* "-"_);_(@_)</c:formatCode>
                <c:ptCount val="8"/>
                <c:pt idx="0">
                  <c:v>73940332.710000008</c:v>
                </c:pt>
                <c:pt idx="1">
                  <c:v>76219109</c:v>
                </c:pt>
                <c:pt idx="2">
                  <c:v>70365923.5</c:v>
                </c:pt>
                <c:pt idx="3">
                  <c:v>11907348.9</c:v>
                </c:pt>
                <c:pt idx="4">
                  <c:v>7602757.4800000004</c:v>
                </c:pt>
                <c:pt idx="5">
                  <c:v>15455606</c:v>
                </c:pt>
                <c:pt idx="6">
                  <c:v>13088694</c:v>
                </c:pt>
                <c:pt idx="7">
                  <c:v>46516383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367-4E55-9298-BFA2C3A03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2112971839031"/>
          <c:y val="0.12797481506455516"/>
          <c:w val="0.37796974934674188"/>
          <c:h val="0.794692331901196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141194628620217E-2"/>
          <c:y val="5.58659979841322E-2"/>
          <c:w val="0.88764183184005874"/>
          <c:h val="0.49554367412116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Input'!$I$5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strRef>
              <c:f>'Data Input'!$B$21:$B$31</c:f>
              <c:strCache>
                <c:ptCount val="8"/>
                <c:pt idx="0">
                  <c:v>General Government</c:v>
                </c:pt>
                <c:pt idx="1">
                  <c:v>Police &amp; Fire</c:v>
                </c:pt>
                <c:pt idx="2">
                  <c:v>Health &amp; Welfare</c:v>
                </c:pt>
                <c:pt idx="3">
                  <c:v>Community &amp; Econ Development</c:v>
                </c:pt>
                <c:pt idx="4">
                  <c:v>Recreation &amp; Culture</c:v>
                </c:pt>
                <c:pt idx="5">
                  <c:v>Capital Outlay</c:v>
                </c:pt>
                <c:pt idx="6">
                  <c:v>Debt Service</c:v>
                </c:pt>
                <c:pt idx="7">
                  <c:v>Other Expenditures</c:v>
                </c:pt>
              </c:strCache>
            </c:strRef>
          </c:cat>
          <c:val>
            <c:numRef>
              <c:f>'Data Input'!$I$21:$I$31</c:f>
              <c:numCache>
                <c:formatCode>_(* #,##0_);_(* \(#,##0\);_(* "-"_);_(@_)</c:formatCode>
                <c:ptCount val="8"/>
                <c:pt idx="0">
                  <c:v>106.84</c:v>
                </c:pt>
                <c:pt idx="1">
                  <c:v>106.79</c:v>
                </c:pt>
                <c:pt idx="2">
                  <c:v>127.26</c:v>
                </c:pt>
                <c:pt idx="3">
                  <c:v>28.29</c:v>
                </c:pt>
                <c:pt idx="4">
                  <c:v>2.59</c:v>
                </c:pt>
                <c:pt idx="5">
                  <c:v>21.97</c:v>
                </c:pt>
                <c:pt idx="6">
                  <c:v>19.829999999999998</c:v>
                </c:pt>
                <c:pt idx="7">
                  <c:v>78.48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A9C-4A30-9315-A4350D1C6F88}"/>
            </c:ext>
          </c:extLst>
        </c:ser>
        <c:ser>
          <c:idx val="1"/>
          <c:order val="1"/>
          <c:tx>
            <c:strRef>
              <c:f>'Data Input'!$J$5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strRef>
              <c:f>'Data Input'!$B$21:$B$31</c:f>
              <c:strCache>
                <c:ptCount val="8"/>
                <c:pt idx="0">
                  <c:v>General Government</c:v>
                </c:pt>
                <c:pt idx="1">
                  <c:v>Police &amp; Fire</c:v>
                </c:pt>
                <c:pt idx="2">
                  <c:v>Health &amp; Welfare</c:v>
                </c:pt>
                <c:pt idx="3">
                  <c:v>Community &amp; Econ Development</c:v>
                </c:pt>
                <c:pt idx="4">
                  <c:v>Recreation &amp; Culture</c:v>
                </c:pt>
                <c:pt idx="5">
                  <c:v>Capital Outlay</c:v>
                </c:pt>
                <c:pt idx="6">
                  <c:v>Debt Service</c:v>
                </c:pt>
                <c:pt idx="7">
                  <c:v>Other Expenditures</c:v>
                </c:pt>
              </c:strCache>
            </c:strRef>
          </c:cat>
          <c:val>
            <c:numRef>
              <c:f>'Data Input'!$J$21:$J$31</c:f>
              <c:numCache>
                <c:formatCode>_(* #,##0_);_(* \(#,##0\);_(* "-"_);_(@_)</c:formatCode>
                <c:ptCount val="8"/>
                <c:pt idx="0">
                  <c:v>115.14</c:v>
                </c:pt>
                <c:pt idx="1">
                  <c:v>118.69</c:v>
                </c:pt>
                <c:pt idx="2">
                  <c:v>109.57</c:v>
                </c:pt>
                <c:pt idx="3">
                  <c:v>18.54</c:v>
                </c:pt>
                <c:pt idx="4">
                  <c:v>11.84</c:v>
                </c:pt>
                <c:pt idx="5">
                  <c:v>24.07</c:v>
                </c:pt>
                <c:pt idx="6">
                  <c:v>20.38</c:v>
                </c:pt>
                <c:pt idx="7">
                  <c:v>72.44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A9C-4A30-9315-A4350D1C6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1960"/>
        <c:axId val="446199088"/>
      </c:barChart>
      <c:catAx>
        <c:axId val="28441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6199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6199088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411960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284898966111513"/>
          <c:y val="0.91962479514966411"/>
          <c:w val="0.28871886102645805"/>
          <c:h val="5.58348362879220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8062635854523"/>
          <c:y val="0.14026589228455574"/>
          <c:w val="0.86250168262471938"/>
          <c:h val="0.77216584749457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Input'!$B$89</c:f>
              <c:strCache>
                <c:ptCount val="1"/>
                <c:pt idx="0">
                  <c:v> General Government 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Input'!$D$5:$H$5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Input'!$D$89:$H$89</c:f>
              <c:numCache>
                <c:formatCode>_(* #,##0_);_(* \(#,##0\);_(* "-"_);_(@_)</c:formatCode>
                <c:ptCount val="5"/>
                <c:pt idx="0">
                  <c:v>76722718</c:v>
                </c:pt>
                <c:pt idx="1">
                  <c:v>71253060</c:v>
                </c:pt>
                <c:pt idx="2">
                  <c:v>70822326</c:v>
                </c:pt>
                <c:pt idx="3">
                  <c:v>67990349</c:v>
                </c:pt>
                <c:pt idx="4">
                  <c:v>73940332.710000008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B10-4D6B-B194-B3001A530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199872"/>
        <c:axId val="446200264"/>
      </c:barChart>
      <c:catAx>
        <c:axId val="4461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6200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62002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61998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6.4586617957127501E-3"/>
                <c:y val="0.13649878829765461"/>
              </c:manualLayout>
            </c:layout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01861752096605"/>
          <c:y val="4.3243300310520892E-2"/>
          <c:w val="0.86346080926435187"/>
          <c:h val="0.7961346560160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Input'!$B$19</c:f>
              <c:strCache>
                <c:ptCount val="1"/>
                <c:pt idx="0">
                  <c:v>Total Revenues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Input'!$D$5:$H$5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Input'!$D$19:$H$19</c:f>
              <c:numCache>
                <c:formatCode>_(* #,##0_);_(* \(#,##0\);_(* "-"_);_(@_)</c:formatCode>
                <c:ptCount val="5"/>
                <c:pt idx="0">
                  <c:v>286182420</c:v>
                </c:pt>
                <c:pt idx="1">
                  <c:v>285566231</c:v>
                </c:pt>
                <c:pt idx="2">
                  <c:v>299134820</c:v>
                </c:pt>
                <c:pt idx="3">
                  <c:v>326134441</c:v>
                </c:pt>
                <c:pt idx="4">
                  <c:v>336875794.35999995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E11-4CFF-8044-60C1D470400D}"/>
            </c:ext>
          </c:extLst>
        </c:ser>
        <c:ser>
          <c:idx val="1"/>
          <c:order val="1"/>
          <c:tx>
            <c:strRef>
              <c:f>'Data Input'!$B$32</c:f>
              <c:strCache>
                <c:ptCount val="1"/>
                <c:pt idx="0">
                  <c:v>Total Expenditures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numRef>
              <c:f>'Data Input'!$D$5:$H$5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Input'!$D$32:$H$32</c:f>
              <c:numCache>
                <c:formatCode>_(* #,##0_);_(* \(#,##0\);_(* "-"_);_(@_)</c:formatCode>
                <c:ptCount val="5"/>
                <c:pt idx="0">
                  <c:v>294150248</c:v>
                </c:pt>
                <c:pt idx="1">
                  <c:v>288252128</c:v>
                </c:pt>
                <c:pt idx="2">
                  <c:v>295188332</c:v>
                </c:pt>
                <c:pt idx="3">
                  <c:v>313123837</c:v>
                </c:pt>
                <c:pt idx="4">
                  <c:v>315096154.59000003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E11-4CFF-8044-60C1D4704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18528"/>
        <c:axId val="169118920"/>
      </c:barChart>
      <c:lineChart>
        <c:grouping val="standard"/>
        <c:varyColors val="0"/>
        <c:ser>
          <c:idx val="2"/>
          <c:order val="2"/>
          <c:tx>
            <c:strRef>
              <c:f>'Data Input'!$B$41</c:f>
              <c:strCache>
                <c:ptCount val="1"/>
                <c:pt idx="0">
                  <c:v>Total Fund Balance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'Data Input'!$D$5:$H$5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Input'!$D$41:$H$41</c:f>
              <c:numCache>
                <c:formatCode>_(* #,##0_);_(* \(#,##0\);_(* "-"_);_(@_)</c:formatCode>
                <c:ptCount val="5"/>
                <c:pt idx="0">
                  <c:v>91885271</c:v>
                </c:pt>
                <c:pt idx="1">
                  <c:v>89199373</c:v>
                </c:pt>
                <c:pt idx="2">
                  <c:v>93029513</c:v>
                </c:pt>
                <c:pt idx="3">
                  <c:v>101266852</c:v>
                </c:pt>
                <c:pt idx="4">
                  <c:v>122369447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E11-4CFF-8044-60C1D4704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18528"/>
        <c:axId val="169118920"/>
      </c:lineChart>
      <c:catAx>
        <c:axId val="16911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118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91189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118528"/>
        <c:crosses val="autoZero"/>
        <c:crossBetween val="between"/>
        <c:dispUnits>
          <c:builtInUnit val="millions"/>
          <c:dispUnits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662992125984252E-2"/>
          <c:y val="0.93326097751294601"/>
          <c:w val="0.92623987218988924"/>
          <c:h val="5.96853231183940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70509406542873"/>
          <c:y val="6.6666883681261987E-2"/>
          <c:w val="0.83992795098066608"/>
          <c:h val="0.75333578559826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Input'!$B$36</c:f>
              <c:strCache>
                <c:ptCount val="1"/>
                <c:pt idx="0">
                  <c:v>Nonspendable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1"/>
          <c:cat>
            <c:numRef>
              <c:f>'Data Input'!$D$5:$H$5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Input'!$D$36:$H$36</c:f>
              <c:numCache>
                <c:formatCode>_(* #,##0_);_(* \(#,##0\);_(* "-"_);_(@_)</c:formatCode>
                <c:ptCount val="5"/>
                <c:pt idx="0">
                  <c:v>1416966</c:v>
                </c:pt>
                <c:pt idx="1">
                  <c:v>1967152</c:v>
                </c:pt>
                <c:pt idx="2">
                  <c:v>2140222</c:v>
                </c:pt>
                <c:pt idx="3">
                  <c:v>1298984</c:v>
                </c:pt>
                <c:pt idx="4">
                  <c:v>1925725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A18-4EED-B2D6-331FF73EFE8C}"/>
            </c:ext>
          </c:extLst>
        </c:ser>
        <c:ser>
          <c:idx val="1"/>
          <c:order val="1"/>
          <c:tx>
            <c:strRef>
              <c:f>'Data Input'!$B$37</c:f>
              <c:strCache>
                <c:ptCount val="1"/>
                <c:pt idx="0">
                  <c:v>Restricted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Input'!$D$5:$H$5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Input'!$D$37:$H$37</c:f>
              <c:numCache>
                <c:formatCode>_(* #,##0_);_(* \(#,##0\);_(* "-"_);_(@_)</c:formatCode>
                <c:ptCount val="5"/>
                <c:pt idx="0">
                  <c:v>15786664</c:v>
                </c:pt>
                <c:pt idx="1">
                  <c:v>11292058</c:v>
                </c:pt>
                <c:pt idx="2">
                  <c:v>13050442</c:v>
                </c:pt>
                <c:pt idx="3">
                  <c:v>12202392</c:v>
                </c:pt>
                <c:pt idx="4">
                  <c:v>47047415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A18-4EED-B2D6-331FF73EFE8C}"/>
            </c:ext>
          </c:extLst>
        </c:ser>
        <c:ser>
          <c:idx val="2"/>
          <c:order val="2"/>
          <c:tx>
            <c:strRef>
              <c:f>'Data Input'!$B$38</c:f>
              <c:strCache>
                <c:ptCount val="1"/>
                <c:pt idx="0">
                  <c:v>Committed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numRef>
              <c:f>'Data Input'!$D$5:$H$5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Input'!$D$38:$H$38</c:f>
              <c:numCache>
                <c:formatCode>_(* #,##0_);_(* \(#,##0\);_(* "-"_);_(@_)</c:formatCode>
                <c:ptCount val="5"/>
                <c:pt idx="0">
                  <c:v>23452233</c:v>
                </c:pt>
                <c:pt idx="1">
                  <c:v>23380820</c:v>
                </c:pt>
                <c:pt idx="2">
                  <c:v>23861959</c:v>
                </c:pt>
                <c:pt idx="3">
                  <c:v>24916354</c:v>
                </c:pt>
                <c:pt idx="4">
                  <c:v>27865315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A18-4EED-B2D6-331FF73EFE8C}"/>
            </c:ext>
          </c:extLst>
        </c:ser>
        <c:ser>
          <c:idx val="3"/>
          <c:order val="3"/>
          <c:tx>
            <c:strRef>
              <c:f>'Data Input'!$B$39</c:f>
              <c:strCache>
                <c:ptCount val="1"/>
                <c:pt idx="0">
                  <c:v>Assigned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1"/>
          <c:cat>
            <c:numRef>
              <c:f>'Data Input'!$D$5:$H$5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Input'!$D$39:$H$39</c:f>
              <c:numCache>
                <c:formatCode>_(* #,##0_);_(* \(#,##0\);_(* "-"_);_(@_)</c:formatCode>
                <c:ptCount val="5"/>
                <c:pt idx="0">
                  <c:v>7259258</c:v>
                </c:pt>
                <c:pt idx="1">
                  <c:v>9077348</c:v>
                </c:pt>
                <c:pt idx="2">
                  <c:v>11040579</c:v>
                </c:pt>
                <c:pt idx="3">
                  <c:v>19571880</c:v>
                </c:pt>
                <c:pt idx="4">
                  <c:v>2961583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AA18-4EED-B2D6-331FF73EFE8C}"/>
            </c:ext>
          </c:extLst>
        </c:ser>
        <c:ser>
          <c:idx val="4"/>
          <c:order val="4"/>
          <c:tx>
            <c:strRef>
              <c:f>'Data Input'!$B$40</c:f>
              <c:strCache>
                <c:ptCount val="1"/>
                <c:pt idx="0">
                  <c:v>Unassigned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1"/>
          <c:cat>
            <c:numRef>
              <c:f>'Data Input'!$D$5:$H$5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Input'!$D$40:$H$40</c:f>
              <c:numCache>
                <c:formatCode>_(* #,##0_);_(* \(#,##0\);_(* "-"_);_(@_)</c:formatCode>
                <c:ptCount val="5"/>
                <c:pt idx="0">
                  <c:v>43970150</c:v>
                </c:pt>
                <c:pt idx="1">
                  <c:v>43481995</c:v>
                </c:pt>
                <c:pt idx="2">
                  <c:v>42936311</c:v>
                </c:pt>
                <c:pt idx="3">
                  <c:v>43277242</c:v>
                </c:pt>
                <c:pt idx="4">
                  <c:v>42569409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AA18-4EED-B2D6-331FF73EF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119704"/>
        <c:axId val="441227712"/>
      </c:barChart>
      <c:catAx>
        <c:axId val="16911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22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122771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119704"/>
        <c:crosses val="autoZero"/>
        <c:crossBetween val="between"/>
        <c:dispUnits>
          <c:builtInUnit val="millions"/>
          <c:dispUnits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2904184035819054E-2"/>
          <c:y val="0.9039359580052494"/>
          <c:w val="0.95281716844218012"/>
          <c:h val="7.33823272090988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001061482105"/>
          <c:y val="6.6666883681261987E-2"/>
          <c:w val="0.88913137857865421"/>
          <c:h val="0.76444677748614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Input'!$B$36</c:f>
              <c:strCache>
                <c:ptCount val="1"/>
                <c:pt idx="0">
                  <c:v>Nonspendable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1"/>
          <c:cat>
            <c:numRef>
              <c:f>'Data Input'!$I$5:$J$5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Input'!$I$36:$J$36</c:f>
              <c:numCache>
                <c:formatCode>_(* #,##0_);_(* \(#,##0\);_(* "-"_);_(@_)</c:formatCode>
                <c:ptCount val="2"/>
                <c:pt idx="0">
                  <c:v>2.04</c:v>
                </c:pt>
                <c:pt idx="1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2B2-40E5-898E-04E40F48A69D}"/>
            </c:ext>
          </c:extLst>
        </c:ser>
        <c:ser>
          <c:idx val="1"/>
          <c:order val="1"/>
          <c:tx>
            <c:strRef>
              <c:f>'Data Input'!$B$37</c:f>
              <c:strCache>
                <c:ptCount val="1"/>
                <c:pt idx="0">
                  <c:v>Restricted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1"/>
          <c:cat>
            <c:numRef>
              <c:f>'Data Input'!$I$5:$J$5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Input'!$I$37:$J$37</c:f>
              <c:numCache>
                <c:formatCode>_(* #,##0_);_(* \(#,##0\);_(* "-"_);_(@_)</c:formatCode>
                <c:ptCount val="2"/>
                <c:pt idx="0">
                  <c:v>19.18</c:v>
                </c:pt>
                <c:pt idx="1">
                  <c:v>73.260000000000005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2B2-40E5-898E-04E40F48A69D}"/>
            </c:ext>
          </c:extLst>
        </c:ser>
        <c:ser>
          <c:idx val="2"/>
          <c:order val="2"/>
          <c:tx>
            <c:strRef>
              <c:f>'Data Input'!$B$38</c:f>
              <c:strCache>
                <c:ptCount val="1"/>
                <c:pt idx="0">
                  <c:v>Committed</c:v>
                </c:pt>
              </c:strCache>
            </c:strRef>
          </c:tx>
          <c:spPr>
            <a:solidFill>
              <a:srgbClr val="660033"/>
            </a:solidFill>
            <a:ln w="25400">
              <a:noFill/>
            </a:ln>
          </c:spPr>
          <c:invertIfNegative val="1"/>
          <c:cat>
            <c:numRef>
              <c:f>'Data Input'!$I$5:$J$5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Input'!$I$38:$J$38</c:f>
              <c:numCache>
                <c:formatCode>_(* #,##0_);_(* \(#,##0\);_(* "-"_);_(@_)</c:formatCode>
                <c:ptCount val="2"/>
                <c:pt idx="0">
                  <c:v>39.15</c:v>
                </c:pt>
                <c:pt idx="1">
                  <c:v>43.39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2B2-40E5-898E-04E40F48A69D}"/>
            </c:ext>
          </c:extLst>
        </c:ser>
        <c:ser>
          <c:idx val="3"/>
          <c:order val="3"/>
          <c:tx>
            <c:strRef>
              <c:f>'Data Input'!$B$39</c:f>
              <c:strCache>
                <c:ptCount val="1"/>
                <c:pt idx="0">
                  <c:v>Assigned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1"/>
          <c:cat>
            <c:numRef>
              <c:f>'Data Input'!$I$5:$J$5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Input'!$I$39:$J$39</c:f>
              <c:numCache>
                <c:formatCode>_(* #,##0_);_(* \(#,##0\);_(* "-"_);_(@_)</c:formatCode>
                <c:ptCount val="2"/>
                <c:pt idx="0">
                  <c:v>30.76</c:v>
                </c:pt>
                <c:pt idx="1">
                  <c:v>4.6100000000000003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32B2-40E5-898E-04E40F48A69D}"/>
            </c:ext>
          </c:extLst>
        </c:ser>
        <c:ser>
          <c:idx val="4"/>
          <c:order val="4"/>
          <c:tx>
            <c:strRef>
              <c:f>'Data Input'!$B$40</c:f>
              <c:strCache>
                <c:ptCount val="1"/>
                <c:pt idx="0">
                  <c:v>Unassigned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1"/>
          <c:cat>
            <c:numRef>
              <c:f>'Data Input'!$I$5:$J$5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Input'!$I$40:$J$40</c:f>
              <c:numCache>
                <c:formatCode>_(* #,##0_);_(* \(#,##0\);_(* "-"_);_(@_)</c:formatCode>
                <c:ptCount val="2"/>
                <c:pt idx="0">
                  <c:v>68.010000000000005</c:v>
                </c:pt>
                <c:pt idx="1">
                  <c:v>66.290000000000006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32B2-40E5-898E-04E40F48A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228496"/>
        <c:axId val="441228888"/>
      </c:barChart>
      <c:catAx>
        <c:axId val="44122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228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122888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2284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2535889535547186E-2"/>
          <c:y val="0.91541528142315542"/>
          <c:w val="0.9325986534291909"/>
          <c:h val="5.33690288713910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trlProps/ctrlProp1.xml><?xml version="1.0" encoding="utf-8"?>
<formControlPr xmlns="http://schemas.microsoft.com/office/spreadsheetml/2009/9/main" objectType="Drop" dropLines="11" dropStyle="combo" dx="22" fmlaLink="'Data Input'!$B$86" fmlaRange="'Data Input'!$B$10:$B$18" sel="1" val="0"/>
</file>

<file path=xl/ctrlProps/ctrlProp2.xml><?xml version="1.0" encoding="utf-8"?>
<formControlPr xmlns="http://schemas.microsoft.com/office/spreadsheetml/2009/9/main" objectType="Drop" dropLines="14" dropStyle="combo" dx="22" fmlaLink="'Data Input'!$B$88" fmlaRange="'Data Input'!$B$21:$B$3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771525</xdr:colOff>
      <xdr:row>17</xdr:row>
      <xdr:rowOff>0</xdr:rowOff>
    </xdr:to>
    <xdr:graphicFrame macro="">
      <xdr:nvGraphicFramePr>
        <xdr:cNvPr id="2244" name="Chart 1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4</xdr:col>
      <xdr:colOff>771525</xdr:colOff>
      <xdr:row>36</xdr:row>
      <xdr:rowOff>0</xdr:rowOff>
    </xdr:to>
    <xdr:graphicFrame macro="">
      <xdr:nvGraphicFramePr>
        <xdr:cNvPr id="2245" name="Chart 2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9</xdr:col>
      <xdr:colOff>1295400</xdr:colOff>
      <xdr:row>35</xdr:row>
      <xdr:rowOff>171450</xdr:rowOff>
    </xdr:to>
    <xdr:graphicFrame macro="">
      <xdr:nvGraphicFramePr>
        <xdr:cNvPr id="2246" name="Chart 3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18</xdr:row>
          <xdr:rowOff>68580</xdr:rowOff>
        </xdr:from>
        <xdr:to>
          <xdr:col>9</xdr:col>
          <xdr:colOff>350520</xdr:colOff>
          <xdr:row>19</xdr:row>
          <xdr:rowOff>144780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4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185458</xdr:rowOff>
    </xdr:from>
    <xdr:to>
      <xdr:col>4</xdr:col>
      <xdr:colOff>795619</xdr:colOff>
      <xdr:row>17</xdr:row>
      <xdr:rowOff>1</xdr:rowOff>
    </xdr:to>
    <xdr:graphicFrame macro="">
      <xdr:nvGraphicFramePr>
        <xdr:cNvPr id="3257" name="Chart 4">
          <a:extLst>
            <a:ext uri="{FF2B5EF4-FFF2-40B4-BE49-F238E27FC236}">
              <a16:creationId xmlns:a16="http://schemas.microsoft.com/office/drawing/2014/main" id="{00000000-0008-0000-0500-0000B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2802</xdr:colOff>
      <xdr:row>18</xdr:row>
      <xdr:rowOff>44822</xdr:rowOff>
    </xdr:from>
    <xdr:to>
      <xdr:col>4</xdr:col>
      <xdr:colOff>829236</xdr:colOff>
      <xdr:row>36</xdr:row>
      <xdr:rowOff>0</xdr:rowOff>
    </xdr:to>
    <xdr:graphicFrame macro="">
      <xdr:nvGraphicFramePr>
        <xdr:cNvPr id="3258" name="Chart 5">
          <a:extLst>
            <a:ext uri="{FF2B5EF4-FFF2-40B4-BE49-F238E27FC236}">
              <a16:creationId xmlns:a16="http://schemas.microsoft.com/office/drawing/2014/main" id="{00000000-0008-0000-0500-0000B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33619</xdr:colOff>
      <xdr:row>18</xdr:row>
      <xdr:rowOff>46504</xdr:rowOff>
    </xdr:from>
    <xdr:to>
      <xdr:col>9</xdr:col>
      <xdr:colOff>1064560</xdr:colOff>
      <xdr:row>36</xdr:row>
      <xdr:rowOff>0</xdr:rowOff>
    </xdr:to>
    <xdr:graphicFrame macro="">
      <xdr:nvGraphicFramePr>
        <xdr:cNvPr id="3259" name="Chart 6">
          <a:extLst>
            <a:ext uri="{FF2B5EF4-FFF2-40B4-BE49-F238E27FC236}">
              <a16:creationId xmlns:a16="http://schemas.microsoft.com/office/drawing/2014/main" id="{00000000-0008-0000-0500-0000BB0C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18</xdr:row>
          <xdr:rowOff>121920</xdr:rowOff>
        </xdr:from>
        <xdr:to>
          <xdr:col>9</xdr:col>
          <xdr:colOff>419100</xdr:colOff>
          <xdr:row>19</xdr:row>
          <xdr:rowOff>175260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5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771525</xdr:colOff>
      <xdr:row>17</xdr:row>
      <xdr:rowOff>0</xdr:rowOff>
    </xdr:to>
    <xdr:graphicFrame macro="">
      <xdr:nvGraphicFramePr>
        <xdr:cNvPr id="11442" name="Chart 7">
          <a:extLst>
            <a:ext uri="{FF2B5EF4-FFF2-40B4-BE49-F238E27FC236}">
              <a16:creationId xmlns:a16="http://schemas.microsoft.com/office/drawing/2014/main" id="{00000000-0008-0000-0600-0000B2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7843</xdr:colOff>
      <xdr:row>18</xdr:row>
      <xdr:rowOff>0</xdr:rowOff>
    </xdr:from>
    <xdr:to>
      <xdr:col>9</xdr:col>
      <xdr:colOff>481852</xdr:colOff>
      <xdr:row>36</xdr:row>
      <xdr:rowOff>0</xdr:rowOff>
    </xdr:to>
    <xdr:graphicFrame macro="">
      <xdr:nvGraphicFramePr>
        <xdr:cNvPr id="11443" name="Chart 8">
          <a:extLst>
            <a:ext uri="{FF2B5EF4-FFF2-40B4-BE49-F238E27FC236}">
              <a16:creationId xmlns:a16="http://schemas.microsoft.com/office/drawing/2014/main" id="{00000000-0008-0000-0600-0000B3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187139</xdr:rowOff>
    </xdr:from>
    <xdr:to>
      <xdr:col>4</xdr:col>
      <xdr:colOff>771525</xdr:colOff>
      <xdr:row>35</xdr:row>
      <xdr:rowOff>187139</xdr:rowOff>
    </xdr:to>
    <xdr:graphicFrame macro="">
      <xdr:nvGraphicFramePr>
        <xdr:cNvPr id="11444" name="Chart 9">
          <a:extLst>
            <a:ext uri="{FF2B5EF4-FFF2-40B4-BE49-F238E27FC236}">
              <a16:creationId xmlns:a16="http://schemas.microsoft.com/office/drawing/2014/main" id="{00000000-0008-0000-0600-0000B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142875</xdr:colOff>
      <xdr:row>17</xdr:row>
      <xdr:rowOff>0</xdr:rowOff>
    </xdr:to>
    <xdr:graphicFrame macro="">
      <xdr:nvGraphicFramePr>
        <xdr:cNvPr id="12584" name="Chart 10">
          <a:extLst>
            <a:ext uri="{FF2B5EF4-FFF2-40B4-BE49-F238E27FC236}">
              <a16:creationId xmlns:a16="http://schemas.microsoft.com/office/drawing/2014/main" id="{00000000-0008-0000-0700-000028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209550</xdr:colOff>
      <xdr:row>2</xdr:row>
      <xdr:rowOff>9525</xdr:rowOff>
    </xdr:from>
    <xdr:to>
      <xdr:col>10</xdr:col>
      <xdr:colOff>323850</xdr:colOff>
      <xdr:row>17</xdr:row>
      <xdr:rowOff>2667</xdr:rowOff>
    </xdr:to>
    <xdr:graphicFrame macro="">
      <xdr:nvGraphicFramePr>
        <xdr:cNvPr id="12585" name="Chart 11">
          <a:extLst>
            <a:ext uri="{FF2B5EF4-FFF2-40B4-BE49-F238E27FC236}">
              <a16:creationId xmlns:a16="http://schemas.microsoft.com/office/drawing/2014/main" id="{00000000-0008-0000-0700-000029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85725</xdr:colOff>
      <xdr:row>33</xdr:row>
      <xdr:rowOff>0</xdr:rowOff>
    </xdr:to>
    <xdr:graphicFrame macro="">
      <xdr:nvGraphicFramePr>
        <xdr:cNvPr id="12586" name="Chart 12">
          <a:extLst>
            <a:ext uri="{FF2B5EF4-FFF2-40B4-BE49-F238E27FC236}">
              <a16:creationId xmlns:a16="http://schemas.microsoft.com/office/drawing/2014/main" id="{00000000-0008-0000-0700-00002A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180975</xdr:colOff>
      <xdr:row>18</xdr:row>
      <xdr:rowOff>0</xdr:rowOff>
    </xdr:from>
    <xdr:to>
      <xdr:col>16</xdr:col>
      <xdr:colOff>0</xdr:colOff>
      <xdr:row>33</xdr:row>
      <xdr:rowOff>9525</xdr:rowOff>
    </xdr:to>
    <xdr:graphicFrame macro="">
      <xdr:nvGraphicFramePr>
        <xdr:cNvPr id="12587" name="Chart 13">
          <a:extLst>
            <a:ext uri="{FF2B5EF4-FFF2-40B4-BE49-F238E27FC236}">
              <a16:creationId xmlns:a16="http://schemas.microsoft.com/office/drawing/2014/main" id="{00000000-0008-0000-0700-00002B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390525</xdr:colOff>
      <xdr:row>2</xdr:row>
      <xdr:rowOff>9525</xdr:rowOff>
    </xdr:from>
    <xdr:to>
      <xdr:col>16</xdr:col>
      <xdr:colOff>0</xdr:colOff>
      <xdr:row>17</xdr:row>
      <xdr:rowOff>0</xdr:rowOff>
    </xdr:to>
    <xdr:graphicFrame macro="">
      <xdr:nvGraphicFramePr>
        <xdr:cNvPr id="12588" name="Chart 14">
          <a:extLst>
            <a:ext uri="{FF2B5EF4-FFF2-40B4-BE49-F238E27FC236}">
              <a16:creationId xmlns:a16="http://schemas.microsoft.com/office/drawing/2014/main" id="{00000000-0008-0000-0700-00002C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showGridLines="0" topLeftCell="A28" zoomScaleNormal="100" workbookViewId="0">
      <selection activeCell="N43" sqref="N43"/>
    </sheetView>
  </sheetViews>
  <sheetFormatPr defaultColWidth="9.109375" defaultRowHeight="13.8"/>
  <cols>
    <col min="1" max="1" width="3.5546875" style="5" customWidth="1"/>
    <col min="2" max="2" width="2.6640625" style="5" customWidth="1"/>
    <col min="3" max="3" width="3.5546875" style="5" customWidth="1"/>
    <col min="4" max="4" width="2.6640625" style="5" customWidth="1"/>
    <col min="5" max="12" width="9.109375" style="5" customWidth="1"/>
    <col min="13" max="16384" width="9.109375" style="3"/>
  </cols>
  <sheetData>
    <row r="1" spans="1:12" ht="17.399999999999999">
      <c r="A1" s="134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7.399999999999999">
      <c r="A2" s="4"/>
    </row>
    <row r="3" spans="1:12">
      <c r="A3" s="6" t="s">
        <v>143</v>
      </c>
    </row>
    <row r="4" spans="1:12">
      <c r="A4" s="6" t="s">
        <v>144</v>
      </c>
    </row>
    <row r="5" spans="1:12" ht="14.4" customHeight="1"/>
    <row r="6" spans="1:12" ht="14.4" customHeight="1">
      <c r="A6" s="7" t="s">
        <v>80</v>
      </c>
    </row>
    <row r="7" spans="1:12">
      <c r="A7" s="7" t="s">
        <v>104</v>
      </c>
    </row>
    <row r="8" spans="1:12">
      <c r="A8" s="7" t="s">
        <v>105</v>
      </c>
    </row>
    <row r="9" spans="1:12">
      <c r="A9" s="7" t="s">
        <v>106</v>
      </c>
    </row>
    <row r="11" spans="1:12">
      <c r="B11" s="8" t="s">
        <v>146</v>
      </c>
      <c r="C11" s="5" t="s">
        <v>53</v>
      </c>
    </row>
    <row r="12" spans="1:12">
      <c r="B12" s="9" t="s">
        <v>145</v>
      </c>
      <c r="C12" s="5" t="s">
        <v>5</v>
      </c>
    </row>
    <row r="13" spans="1:12">
      <c r="B13" s="9" t="s">
        <v>147</v>
      </c>
      <c r="C13" s="5" t="s">
        <v>81</v>
      </c>
    </row>
    <row r="14" spans="1:12">
      <c r="B14" s="9" t="s">
        <v>148</v>
      </c>
      <c r="C14" s="5" t="s">
        <v>82</v>
      </c>
    </row>
    <row r="16" spans="1:12">
      <c r="A16" s="7" t="s">
        <v>83</v>
      </c>
    </row>
    <row r="17" spans="1:5" ht="14.4" customHeight="1">
      <c r="A17" s="7" t="s">
        <v>84</v>
      </c>
    </row>
    <row r="18" spans="1:5" ht="14.4" customHeight="1">
      <c r="A18" s="7"/>
    </row>
    <row r="19" spans="1:5">
      <c r="B19" s="8" t="s">
        <v>146</v>
      </c>
      <c r="C19" s="7" t="s">
        <v>157</v>
      </c>
      <c r="D19" s="7"/>
    </row>
    <row r="20" spans="1:5">
      <c r="B20" s="8"/>
      <c r="C20" s="7" t="s">
        <v>156</v>
      </c>
      <c r="D20" s="7"/>
    </row>
    <row r="21" spans="1:5">
      <c r="B21" s="7"/>
      <c r="C21" s="7"/>
      <c r="D21" s="7"/>
    </row>
    <row r="22" spans="1:5">
      <c r="B22" s="8" t="s">
        <v>145</v>
      </c>
      <c r="C22" s="7" t="s">
        <v>85</v>
      </c>
      <c r="D22" s="7"/>
    </row>
    <row r="23" spans="1:5">
      <c r="B23" s="7"/>
      <c r="C23" s="7"/>
      <c r="D23" s="7"/>
    </row>
    <row r="24" spans="1:5">
      <c r="D24" s="5" t="s">
        <v>153</v>
      </c>
      <c r="E24" s="7" t="s">
        <v>86</v>
      </c>
    </row>
    <row r="25" spans="1:5">
      <c r="E25" s="7" t="s">
        <v>102</v>
      </c>
    </row>
    <row r="26" spans="1:5">
      <c r="E26" s="5" t="s">
        <v>87</v>
      </c>
    </row>
    <row r="28" spans="1:5" ht="14.4" customHeight="1">
      <c r="D28" s="5" t="s">
        <v>154</v>
      </c>
      <c r="E28" s="7" t="s">
        <v>88</v>
      </c>
    </row>
    <row r="29" spans="1:5">
      <c r="E29" s="7" t="s">
        <v>89</v>
      </c>
    </row>
    <row r="30" spans="1:5">
      <c r="E30" s="7" t="s">
        <v>90</v>
      </c>
    </row>
    <row r="31" spans="1:5" ht="14.4" customHeight="1">
      <c r="E31" s="7" t="s">
        <v>91</v>
      </c>
    </row>
    <row r="33" spans="2:5">
      <c r="B33" s="8" t="s">
        <v>147</v>
      </c>
      <c r="C33" s="7" t="s">
        <v>159</v>
      </c>
      <c r="D33" s="7"/>
    </row>
    <row r="34" spans="2:5">
      <c r="B34" s="8"/>
      <c r="C34" s="7" t="s">
        <v>158</v>
      </c>
      <c r="D34" s="7"/>
    </row>
    <row r="35" spans="2:5">
      <c r="B35" s="8"/>
      <c r="C35" s="7"/>
      <c r="D35" s="7"/>
    </row>
    <row r="36" spans="2:5">
      <c r="D36" s="5" t="s">
        <v>153</v>
      </c>
      <c r="E36" s="7" t="s">
        <v>86</v>
      </c>
    </row>
    <row r="37" spans="2:5">
      <c r="E37" s="7" t="s">
        <v>102</v>
      </c>
    </row>
    <row r="38" spans="2:5">
      <c r="E38" s="7" t="s">
        <v>87</v>
      </c>
    </row>
    <row r="40" spans="2:5" ht="14.4" customHeight="1">
      <c r="D40" s="5" t="s">
        <v>154</v>
      </c>
      <c r="E40" s="7" t="s">
        <v>92</v>
      </c>
    </row>
    <row r="41" spans="2:5">
      <c r="E41" s="7" t="s">
        <v>93</v>
      </c>
    </row>
    <row r="42" spans="2:5">
      <c r="E42" s="7" t="s">
        <v>94</v>
      </c>
    </row>
    <row r="43" spans="2:5">
      <c r="E43" s="7" t="s">
        <v>95</v>
      </c>
    </row>
    <row r="44" spans="2:5">
      <c r="E44" s="7" t="s">
        <v>96</v>
      </c>
    </row>
    <row r="45" spans="2:5">
      <c r="E45" s="5" t="s">
        <v>97</v>
      </c>
    </row>
    <row r="47" spans="2:5">
      <c r="B47" s="8" t="s">
        <v>148</v>
      </c>
      <c r="C47" s="7" t="s">
        <v>98</v>
      </c>
      <c r="D47" s="7"/>
    </row>
    <row r="48" spans="2:5">
      <c r="B48" s="7"/>
      <c r="C48" s="7" t="s">
        <v>99</v>
      </c>
      <c r="D48" s="7"/>
    </row>
    <row r="49" spans="2:5">
      <c r="B49" s="7"/>
      <c r="C49" s="7" t="s">
        <v>101</v>
      </c>
      <c r="D49" s="7"/>
    </row>
    <row r="50" spans="2:5">
      <c r="B50" s="7"/>
      <c r="C50" s="7"/>
      <c r="D50" s="7"/>
    </row>
    <row r="51" spans="2:5">
      <c r="D51" s="5" t="s">
        <v>153</v>
      </c>
      <c r="E51" s="6" t="s">
        <v>100</v>
      </c>
    </row>
    <row r="52" spans="2:5">
      <c r="E52" s="6" t="s">
        <v>103</v>
      </c>
    </row>
    <row r="54" spans="2:5">
      <c r="D54" s="5" t="s">
        <v>154</v>
      </c>
      <c r="E54" s="7" t="s">
        <v>107</v>
      </c>
    </row>
    <row r="55" spans="2:5">
      <c r="E55" s="7" t="s">
        <v>108</v>
      </c>
    </row>
    <row r="57" spans="2:5">
      <c r="D57" s="5" t="s">
        <v>155</v>
      </c>
      <c r="E57" s="7" t="s">
        <v>113</v>
      </c>
    </row>
    <row r="58" spans="2:5">
      <c r="E58" s="7" t="s">
        <v>114</v>
      </c>
    </row>
    <row r="59" spans="2:5">
      <c r="E59" s="7" t="s">
        <v>115</v>
      </c>
    </row>
    <row r="60" spans="2:5">
      <c r="E60" s="7" t="s">
        <v>116</v>
      </c>
    </row>
    <row r="61" spans="2:5">
      <c r="E61" s="7" t="s">
        <v>117</v>
      </c>
    </row>
    <row r="62" spans="2:5">
      <c r="E62" s="7" t="s">
        <v>118</v>
      </c>
    </row>
    <row r="64" spans="2:5">
      <c r="B64" s="8" t="s">
        <v>149</v>
      </c>
      <c r="C64" s="7" t="s">
        <v>109</v>
      </c>
      <c r="D64" s="7"/>
    </row>
    <row r="65" spans="2:5">
      <c r="B65" s="7"/>
      <c r="C65" s="7" t="s">
        <v>110</v>
      </c>
      <c r="D65" s="7"/>
    </row>
    <row r="66" spans="2:5">
      <c r="B66" s="7"/>
      <c r="C66" s="7"/>
      <c r="D66" s="7"/>
    </row>
    <row r="67" spans="2:5">
      <c r="D67" s="5" t="s">
        <v>153</v>
      </c>
      <c r="E67" s="6" t="s">
        <v>112</v>
      </c>
    </row>
    <row r="68" spans="2:5">
      <c r="E68" s="6" t="s">
        <v>111</v>
      </c>
    </row>
    <row r="70" spans="2:5">
      <c r="D70" s="5" t="s">
        <v>154</v>
      </c>
      <c r="E70" s="7" t="s">
        <v>119</v>
      </c>
    </row>
    <row r="71" spans="2:5">
      <c r="E71" s="7" t="s">
        <v>120</v>
      </c>
    </row>
    <row r="73" spans="2:5">
      <c r="B73" s="8" t="s">
        <v>150</v>
      </c>
      <c r="C73" s="7" t="s">
        <v>121</v>
      </c>
      <c r="D73" s="7"/>
    </row>
    <row r="74" spans="2:5">
      <c r="B74" s="7"/>
      <c r="C74" s="7" t="s">
        <v>122</v>
      </c>
      <c r="D74" s="7"/>
    </row>
    <row r="75" spans="2:5">
      <c r="B75" s="7"/>
      <c r="C75" s="7" t="s">
        <v>123</v>
      </c>
      <c r="D75" s="7"/>
    </row>
    <row r="76" spans="2:5">
      <c r="B76" s="7"/>
      <c r="C76" s="7" t="s">
        <v>124</v>
      </c>
      <c r="D76" s="7"/>
    </row>
    <row r="77" spans="2:5">
      <c r="B77" s="7"/>
      <c r="C77" s="7" t="s">
        <v>125</v>
      </c>
      <c r="D77" s="7"/>
    </row>
    <row r="79" spans="2:5">
      <c r="B79" s="8" t="s">
        <v>151</v>
      </c>
      <c r="C79" s="7" t="s">
        <v>136</v>
      </c>
      <c r="D79" s="7"/>
    </row>
    <row r="81" spans="1:4">
      <c r="B81" s="8" t="s">
        <v>152</v>
      </c>
      <c r="C81" s="7" t="s">
        <v>126</v>
      </c>
      <c r="D81" s="7"/>
    </row>
    <row r="82" spans="1:4">
      <c r="B82" s="7"/>
      <c r="C82" s="7" t="s">
        <v>127</v>
      </c>
      <c r="D82" s="7"/>
    </row>
    <row r="84" spans="1:4">
      <c r="A84" s="7" t="s">
        <v>128</v>
      </c>
    </row>
    <row r="85" spans="1:4">
      <c r="A85" s="7" t="s">
        <v>129</v>
      </c>
    </row>
    <row r="86" spans="1:4">
      <c r="A86" s="7" t="s">
        <v>130</v>
      </c>
    </row>
    <row r="88" spans="1:4">
      <c r="A88" s="6" t="s">
        <v>131</v>
      </c>
    </row>
    <row r="89" spans="1:4">
      <c r="A89" s="6" t="s">
        <v>132</v>
      </c>
    </row>
    <row r="90" spans="1:4">
      <c r="A90" s="6" t="s">
        <v>133</v>
      </c>
    </row>
    <row r="92" spans="1:4">
      <c r="A92" s="7" t="s">
        <v>134</v>
      </c>
    </row>
    <row r="93" spans="1:4">
      <c r="A93" s="7" t="s">
        <v>135</v>
      </c>
    </row>
  </sheetData>
  <sheetProtection formatCells="0" formatColumns="0" formatRows="0" insertColumns="0" insertRows="0"/>
  <mergeCells count="1">
    <mergeCell ref="A1:L1"/>
  </mergeCells>
  <printOptions horizontalCentered="1"/>
  <pageMargins left="0.5" right="0.5" top="0.5" bottom="0.5" header="0.5" footer="0.5"/>
  <pageSetup orientation="portrait" r:id="rId1"/>
  <headerFooter alignWithMargins="0">
    <oddFooter>&amp;C&amp;"Arial,Regular"&amp;P</oddFooter>
  </headerFooter>
  <rowBreaks count="1" manualBreakCount="1">
    <brk id="50" max="11" man="1"/>
  </rowBreaks>
  <ignoredErrors>
    <ignoredError sqref="B36:B81 B11:B19 B21: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53" zoomScaleNormal="100" workbookViewId="0">
      <selection activeCell="K75" sqref="K75"/>
    </sheetView>
  </sheetViews>
  <sheetFormatPr defaultColWidth="9" defaultRowHeight="15" customHeight="1"/>
  <cols>
    <col min="1" max="1" width="8.5546875" style="12" customWidth="1"/>
    <col min="2" max="2" width="31" style="12" customWidth="1"/>
    <col min="3" max="3" width="13.44140625" style="12" customWidth="1"/>
    <col min="4" max="6" width="12.44140625" style="12" customWidth="1"/>
    <col min="7" max="7" width="12" style="12" bestFit="1" customWidth="1"/>
    <col min="8" max="8" width="12.44140625" style="12" customWidth="1"/>
    <col min="9" max="9" width="11" style="12" customWidth="1"/>
    <col min="10" max="10" width="10.109375" style="12" customWidth="1"/>
    <col min="11" max="11" width="12" style="12" bestFit="1" customWidth="1"/>
    <col min="12" max="16384" width="9" style="12"/>
  </cols>
  <sheetData>
    <row r="1" spans="1:10" ht="15" customHeight="1">
      <c r="A1" s="2" t="s">
        <v>137</v>
      </c>
      <c r="B1" s="10"/>
      <c r="C1" s="11"/>
      <c r="I1" s="13"/>
      <c r="J1" s="14"/>
    </row>
    <row r="2" spans="1:10" s="15" customFormat="1" ht="14.4">
      <c r="A2" s="15" t="s">
        <v>77</v>
      </c>
      <c r="B2" s="16"/>
      <c r="C2" s="95" t="s">
        <v>291</v>
      </c>
      <c r="D2" s="17"/>
    </row>
    <row r="3" spans="1:10" s="15" customFormat="1" ht="14.4">
      <c r="A3" s="15" t="s">
        <v>78</v>
      </c>
      <c r="B3" s="16"/>
      <c r="C3" s="96">
        <v>410000</v>
      </c>
      <c r="D3" s="17"/>
    </row>
    <row r="4" spans="1:10" s="15" customFormat="1" ht="16.2">
      <c r="B4" s="16"/>
      <c r="C4" s="17"/>
      <c r="D4" s="17"/>
      <c r="I4" s="18" t="s">
        <v>0</v>
      </c>
      <c r="J4" s="1"/>
    </row>
    <row r="5" spans="1:10" s="20" customFormat="1" ht="17.25" customHeight="1">
      <c r="A5" s="19"/>
      <c r="B5" s="19"/>
      <c r="C5" s="20">
        <v>2011</v>
      </c>
      <c r="D5" s="20">
        <v>2012</v>
      </c>
      <c r="E5" s="20">
        <v>2013</v>
      </c>
      <c r="F5" s="20">
        <v>2014</v>
      </c>
      <c r="G5" s="20">
        <v>2015</v>
      </c>
      <c r="H5" s="20">
        <v>2016</v>
      </c>
      <c r="I5" s="21">
        <f>+G$5</f>
        <v>2015</v>
      </c>
      <c r="J5" s="21">
        <f>+H$5</f>
        <v>2016</v>
      </c>
    </row>
    <row r="6" spans="1:10" s="20" customFormat="1" ht="17.25" customHeight="1">
      <c r="A6" s="22"/>
      <c r="B6" s="19"/>
      <c r="I6" s="21"/>
      <c r="J6" s="21"/>
    </row>
    <row r="7" spans="1:10" s="21" customFormat="1" ht="17.25" customHeight="1"/>
    <row r="8" spans="1:10" ht="15" customHeight="1">
      <c r="A8" s="23" t="s">
        <v>138</v>
      </c>
      <c r="C8" s="24"/>
      <c r="E8" s="25"/>
    </row>
    <row r="9" spans="1:10" ht="15" customHeight="1">
      <c r="A9" s="26" t="s">
        <v>53</v>
      </c>
      <c r="F9" s="27"/>
      <c r="G9" s="27"/>
      <c r="H9" s="27"/>
    </row>
    <row r="10" spans="1:10" ht="15" customHeight="1">
      <c r="B10" s="28" t="s">
        <v>41</v>
      </c>
      <c r="C10" s="51">
        <f>SUMIF('F-65 Cross-walk'!$C4:$C135,'Data Input'!$B10,'F-65 Cross-walk'!E4:E135)</f>
        <v>113176964</v>
      </c>
      <c r="D10" s="51">
        <f>SUMIF('F-65 Cross-walk'!$C4:$C135,'Data Input'!$B10,'F-65 Cross-walk'!F4:F135)</f>
        <v>111637176</v>
      </c>
      <c r="E10" s="51">
        <f>SUMIF('F-65 Cross-walk'!$C4:$C135,'Data Input'!$B10,'F-65 Cross-walk'!G4:G135)</f>
        <v>111501894</v>
      </c>
      <c r="F10" s="51">
        <f>SUMIF('F-65 Cross-walk'!$C4:$C135,'Data Input'!$B10,'F-65 Cross-walk'!H4:H135)</f>
        <v>114062260</v>
      </c>
      <c r="G10" s="51">
        <f>SUMIF('F-65 Cross-walk'!$C4:$C135,'Data Input'!$B10,'F-65 Cross-walk'!I4:I135)</f>
        <v>121181802</v>
      </c>
      <c r="H10" s="51">
        <f>SUMIF('F-65 Cross-walk'!$C4:$C135,'Data Input'!$B10,'F-65 Cross-walk'!J4:J135)</f>
        <v>125036674.05999999</v>
      </c>
      <c r="I10" s="12">
        <f>ROUND(G10/G$75,2)</f>
        <v>190.43</v>
      </c>
      <c r="J10" s="12">
        <f>ROUND(H10/H$75,2)</f>
        <v>194.71</v>
      </c>
    </row>
    <row r="11" spans="1:10" ht="15" customHeight="1">
      <c r="B11" s="28" t="s">
        <v>44</v>
      </c>
      <c r="C11" s="51">
        <f>SUMIF('F-65 Cross-walk'!$C5:$C136,'Data Input'!$B11,'F-65 Cross-walk'!E5:E136)</f>
        <v>1812020</v>
      </c>
      <c r="D11" s="51">
        <f>SUMIF('F-65 Cross-walk'!$C5:$C136,'Data Input'!$B11,'F-65 Cross-walk'!F5:F136)</f>
        <v>1933261</v>
      </c>
      <c r="E11" s="51">
        <f>SUMIF('F-65 Cross-walk'!$C5:$C136,'Data Input'!$B11,'F-65 Cross-walk'!G5:G136)</f>
        <v>2048435</v>
      </c>
      <c r="F11" s="51">
        <f>SUMIF('F-65 Cross-walk'!$C5:$C136,'Data Input'!$B11,'F-65 Cross-walk'!H5:H136)</f>
        <v>2136288</v>
      </c>
      <c r="G11" s="51">
        <f>SUMIF('F-65 Cross-walk'!$C5:$C136,'Data Input'!$B11,'F-65 Cross-walk'!I5:I136)</f>
        <v>2492524</v>
      </c>
      <c r="H11" s="51">
        <f>SUMIF('F-65 Cross-walk'!$C5:$C136,'Data Input'!$B11,'F-65 Cross-walk'!J5:J136)</f>
        <v>851232.9</v>
      </c>
      <c r="I11" s="12">
        <f t="shared" ref="I11:I19" si="0">ROUND(G11/G$75,2)</f>
        <v>3.92</v>
      </c>
      <c r="J11" s="12">
        <f t="shared" ref="J11:J19" si="1">ROUND(H11/H$75,2)</f>
        <v>1.33</v>
      </c>
    </row>
    <row r="12" spans="1:10" ht="15" customHeight="1">
      <c r="A12" s="29"/>
      <c r="B12" s="28" t="s">
        <v>49</v>
      </c>
      <c r="C12" s="51">
        <f>SUMIF('F-65 Cross-walk'!$C6:$C137,'Data Input'!$B12,'F-65 Cross-walk'!E6:E137)</f>
        <v>15515894</v>
      </c>
      <c r="D12" s="51">
        <f>SUMIF('F-65 Cross-walk'!$C6:$C137,'Data Input'!$B12,'F-65 Cross-walk'!F6:F137)</f>
        <v>8268412</v>
      </c>
      <c r="E12" s="51">
        <f>SUMIF('F-65 Cross-walk'!$C6:$C137,'Data Input'!$B12,'F-65 Cross-walk'!G6:G137)</f>
        <v>7988808</v>
      </c>
      <c r="F12" s="51">
        <f>SUMIF('F-65 Cross-walk'!$C6:$C137,'Data Input'!$B12,'F-65 Cross-walk'!H6:H137)</f>
        <v>7530821</v>
      </c>
      <c r="G12" s="51">
        <f>SUMIF('F-65 Cross-walk'!$C6:$C137,'Data Input'!$B12,'F-65 Cross-walk'!I6:I137)</f>
        <v>18879722</v>
      </c>
      <c r="H12" s="51">
        <f>SUMIF('F-65 Cross-walk'!$C6:$C137,'Data Input'!$B12,'F-65 Cross-walk'!J6:J137)</f>
        <v>15783216.609999999</v>
      </c>
      <c r="I12" s="12">
        <f t="shared" si="0"/>
        <v>29.67</v>
      </c>
      <c r="J12" s="12">
        <f t="shared" si="1"/>
        <v>24.58</v>
      </c>
    </row>
    <row r="13" spans="1:10" ht="15" customHeight="1">
      <c r="A13" s="29"/>
      <c r="B13" s="28" t="s">
        <v>48</v>
      </c>
      <c r="C13" s="51">
        <f>SUMIF('F-65 Cross-walk'!$C7:$C138,'Data Input'!$B13,'F-65 Cross-walk'!E7:E138)</f>
        <v>51235518</v>
      </c>
      <c r="D13" s="51">
        <f>SUMIF('F-65 Cross-walk'!$C7:$C138,'Data Input'!$B13,'F-65 Cross-walk'!F7:F138)</f>
        <v>50330684</v>
      </c>
      <c r="E13" s="51">
        <f>SUMIF('F-65 Cross-walk'!$C7:$C138,'Data Input'!$B13,'F-65 Cross-walk'!G7:G138)</f>
        <v>49485103</v>
      </c>
      <c r="F13" s="51">
        <f>SUMIF('F-65 Cross-walk'!$C7:$C138,'Data Input'!$B13,'F-65 Cross-walk'!H7:H138)</f>
        <v>51455414</v>
      </c>
      <c r="G13" s="51">
        <f>SUMIF('F-65 Cross-walk'!$C7:$C138,'Data Input'!$B13,'F-65 Cross-walk'!I7:I138)</f>
        <v>49040850</v>
      </c>
      <c r="H13" s="51">
        <f>SUMIF('F-65 Cross-walk'!$C7:$C138,'Data Input'!$B13,'F-65 Cross-walk'!J7:J138)</f>
        <v>48440709.759999998</v>
      </c>
      <c r="I13" s="12">
        <f t="shared" si="0"/>
        <v>77.06</v>
      </c>
      <c r="J13" s="12">
        <f t="shared" si="1"/>
        <v>75.430000000000007</v>
      </c>
    </row>
    <row r="14" spans="1:10" ht="15" customHeight="1">
      <c r="A14" s="30"/>
      <c r="B14" s="28" t="s">
        <v>45</v>
      </c>
      <c r="C14" s="51">
        <f>SUMIF('F-65 Cross-walk'!$C8:$C139,'Data Input'!$B14,'F-65 Cross-walk'!E8:E139)</f>
        <v>2152006</v>
      </c>
      <c r="D14" s="51">
        <f>SUMIF('F-65 Cross-walk'!$C8:$C139,'Data Input'!$B14,'F-65 Cross-walk'!F8:F139)</f>
        <v>1235863</v>
      </c>
      <c r="E14" s="51">
        <f>SUMIF('F-65 Cross-walk'!$C8:$C139,'Data Input'!$B14,'F-65 Cross-walk'!G8:G139)</f>
        <v>1664741</v>
      </c>
      <c r="F14" s="51">
        <f>SUMIF('F-65 Cross-walk'!$C8:$C139,'Data Input'!$B14,'F-65 Cross-walk'!H8:H139)</f>
        <v>1777171</v>
      </c>
      <c r="G14" s="51">
        <f>SUMIF('F-65 Cross-walk'!$C8:$C139,'Data Input'!$B14,'F-65 Cross-walk'!I8:I139)</f>
        <v>1631933</v>
      </c>
      <c r="H14" s="51">
        <f>SUMIF('F-65 Cross-walk'!$C8:$C139,'Data Input'!$B14,'F-65 Cross-walk'!J8:J139)</f>
        <v>0</v>
      </c>
      <c r="I14" s="12">
        <f t="shared" si="0"/>
        <v>2.56</v>
      </c>
      <c r="J14" s="12">
        <f t="shared" si="1"/>
        <v>0</v>
      </c>
    </row>
    <row r="15" spans="1:10" ht="15" customHeight="1">
      <c r="A15" s="29"/>
      <c r="B15" s="28" t="s">
        <v>46</v>
      </c>
      <c r="C15" s="51">
        <f>SUMIF('F-65 Cross-walk'!$C9:$C140,'Data Input'!$B15,'F-65 Cross-walk'!E9:E140)</f>
        <v>25049236</v>
      </c>
      <c r="D15" s="51">
        <f>SUMIF('F-65 Cross-walk'!$C9:$C140,'Data Input'!$B15,'F-65 Cross-walk'!F9:F140)</f>
        <v>25671343</v>
      </c>
      <c r="E15" s="51">
        <f>SUMIF('F-65 Cross-walk'!$C9:$C140,'Data Input'!$B15,'F-65 Cross-walk'!G9:G140)</f>
        <v>26402338</v>
      </c>
      <c r="F15" s="51">
        <f>SUMIF('F-65 Cross-walk'!$C9:$C140,'Data Input'!$B15,'F-65 Cross-walk'!H9:H140)</f>
        <v>23788607</v>
      </c>
      <c r="G15" s="51">
        <f>SUMIF('F-65 Cross-walk'!$C9:$C140,'Data Input'!$B15,'F-65 Cross-walk'!I9:I140)</f>
        <v>29972430</v>
      </c>
      <c r="H15" s="51">
        <f>SUMIF('F-65 Cross-walk'!$C9:$C140,'Data Input'!$B15,'F-65 Cross-walk'!J9:J140)</f>
        <v>43089982.390000001</v>
      </c>
      <c r="I15" s="12">
        <f t="shared" si="0"/>
        <v>47.1</v>
      </c>
      <c r="J15" s="12">
        <f t="shared" si="1"/>
        <v>67.099999999999994</v>
      </c>
    </row>
    <row r="16" spans="1:10" ht="15" customHeight="1">
      <c r="A16" s="29"/>
      <c r="B16" s="28" t="s">
        <v>47</v>
      </c>
      <c r="C16" s="51">
        <f>SUMIF('F-65 Cross-walk'!$C10:$C141,'Data Input'!$B16,'F-65 Cross-walk'!E10:E141)</f>
        <v>556485</v>
      </c>
      <c r="D16" s="51">
        <f>SUMIF('F-65 Cross-walk'!$C10:$C141,'Data Input'!$B16,'F-65 Cross-walk'!F10:F141)</f>
        <v>747800</v>
      </c>
      <c r="E16" s="51">
        <f>SUMIF('F-65 Cross-walk'!$C10:$C141,'Data Input'!$B16,'F-65 Cross-walk'!G10:G141)</f>
        <v>595310</v>
      </c>
      <c r="F16" s="51">
        <f>SUMIF('F-65 Cross-walk'!$C10:$C141,'Data Input'!$B16,'F-65 Cross-walk'!H10:H141)</f>
        <v>634117</v>
      </c>
      <c r="G16" s="51">
        <f>SUMIF('F-65 Cross-walk'!$C10:$C141,'Data Input'!$B16,'F-65 Cross-walk'!I10:I141)</f>
        <v>710401</v>
      </c>
      <c r="H16" s="51">
        <f>SUMIF('F-65 Cross-walk'!$C10:$C141,'Data Input'!$B16,'F-65 Cross-walk'!J10:J141)</f>
        <v>825447.66</v>
      </c>
      <c r="I16" s="12">
        <f t="shared" si="0"/>
        <v>1.1200000000000001</v>
      </c>
      <c r="J16" s="12">
        <f t="shared" si="1"/>
        <v>1.29</v>
      </c>
    </row>
    <row r="17" spans="1:10" ht="15" customHeight="1">
      <c r="B17" s="28" t="s">
        <v>50</v>
      </c>
      <c r="C17" s="51">
        <f>SUMIF('F-65 Cross-walk'!$C11:$C142,'Data Input'!$B17,'F-65 Cross-walk'!E11:E142)</f>
        <v>8751348</v>
      </c>
      <c r="D17" s="51">
        <f>SUMIF('F-65 Cross-walk'!$C11:$C142,'Data Input'!$B17,'F-65 Cross-walk'!F11:F142)</f>
        <v>12340792</v>
      </c>
      <c r="E17" s="51">
        <f>SUMIF('F-65 Cross-walk'!$C11:$C142,'Data Input'!$B17,'F-65 Cross-walk'!G11:G142)</f>
        <v>13867483</v>
      </c>
      <c r="F17" s="51">
        <f>SUMIF('F-65 Cross-walk'!$C11:$C142,'Data Input'!$B17,'F-65 Cross-walk'!H11:H142)</f>
        <v>13821422</v>
      </c>
      <c r="G17" s="51">
        <f>SUMIF('F-65 Cross-walk'!$C11:$C142,'Data Input'!$B17,'F-65 Cross-walk'!I11:I142)</f>
        <v>13897010</v>
      </c>
      <c r="H17" s="51">
        <f>SUMIF('F-65 Cross-walk'!$C11:$C142,'Data Input'!$B17,'F-65 Cross-walk'!J11:J142)</f>
        <v>14129248.74</v>
      </c>
      <c r="I17" s="12">
        <f t="shared" si="0"/>
        <v>21.84</v>
      </c>
      <c r="J17" s="12">
        <f t="shared" si="1"/>
        <v>22</v>
      </c>
    </row>
    <row r="18" spans="1:10" ht="15" customHeight="1">
      <c r="B18" s="28" t="s">
        <v>51</v>
      </c>
      <c r="C18" s="51">
        <f>SUMIF('F-65 Cross-walk'!$C12:$C143,'Data Input'!$B18,'F-65 Cross-walk'!E12:E143)</f>
        <v>71376509</v>
      </c>
      <c r="D18" s="51">
        <f>SUMIF('F-65 Cross-walk'!$C12:$C143,'Data Input'!$B18,'F-65 Cross-walk'!F12:F143)</f>
        <v>74017089</v>
      </c>
      <c r="E18" s="51">
        <f>SUMIF('F-65 Cross-walk'!$C12:$C143,'Data Input'!$B18,'F-65 Cross-walk'!G12:G143)</f>
        <v>72012119</v>
      </c>
      <c r="F18" s="51">
        <f>SUMIF('F-65 Cross-walk'!$C12:$C143,'Data Input'!$B18,'F-65 Cross-walk'!H12:H143)</f>
        <v>83928720</v>
      </c>
      <c r="G18" s="51">
        <f>SUMIF('F-65 Cross-walk'!$C12:$C143,'Data Input'!$B18,'F-65 Cross-walk'!I12:I143)</f>
        <v>88327769</v>
      </c>
      <c r="H18" s="51">
        <f>SUMIF('F-65 Cross-walk'!$C12:$C143,'Data Input'!$B18,'F-65 Cross-walk'!J12:J143)</f>
        <v>88719282.239999995</v>
      </c>
      <c r="I18" s="12">
        <f t="shared" si="0"/>
        <v>138.80000000000001</v>
      </c>
      <c r="J18" s="12">
        <f t="shared" si="1"/>
        <v>138.15</v>
      </c>
    </row>
    <row r="19" spans="1:10" ht="15" customHeight="1">
      <c r="B19" s="31" t="s">
        <v>52</v>
      </c>
      <c r="C19" s="32">
        <f t="shared" ref="C19:H19" si="2">SUM(C10:C18)</f>
        <v>289625980</v>
      </c>
      <c r="D19" s="32">
        <f t="shared" si="2"/>
        <v>286182420</v>
      </c>
      <c r="E19" s="32">
        <f t="shared" si="2"/>
        <v>285566231</v>
      </c>
      <c r="F19" s="32">
        <f t="shared" si="2"/>
        <v>299134820</v>
      </c>
      <c r="G19" s="32">
        <f t="shared" si="2"/>
        <v>326134441</v>
      </c>
      <c r="H19" s="32">
        <f t="shared" si="2"/>
        <v>336875794.35999995</v>
      </c>
      <c r="I19" s="32">
        <f t="shared" si="0"/>
        <v>512.49</v>
      </c>
      <c r="J19" s="32">
        <f t="shared" si="1"/>
        <v>524.59</v>
      </c>
    </row>
    <row r="20" spans="1:10" ht="15" customHeight="1">
      <c r="A20" s="26" t="s">
        <v>5</v>
      </c>
    </row>
    <row r="21" spans="1:10" ht="15" customHeight="1">
      <c r="B21" s="28" t="s">
        <v>56</v>
      </c>
      <c r="C21" s="51">
        <f>SUMIF('F-65 Cross-walk'!$C15:$C146,'Data Input'!$B21,'F-65 Cross-walk'!E15:E146)</f>
        <v>65777509</v>
      </c>
      <c r="D21" s="51">
        <f>SUMIF('F-65 Cross-walk'!$C15:$C146,'Data Input'!$B21,'F-65 Cross-walk'!F15:F146)</f>
        <v>76722718</v>
      </c>
      <c r="E21" s="51">
        <f>SUMIF('F-65 Cross-walk'!$C15:$C146,'Data Input'!$B21,'F-65 Cross-walk'!G15:G146)</f>
        <v>71253060</v>
      </c>
      <c r="F21" s="51">
        <f>SUMIF('F-65 Cross-walk'!$C15:$C146,'Data Input'!$B21,'F-65 Cross-walk'!H15:H146)</f>
        <v>70822326</v>
      </c>
      <c r="G21" s="51">
        <f>SUMIF('F-65 Cross-walk'!$C15:$C146,'Data Input'!$B21,'F-65 Cross-walk'!I15:I146)</f>
        <v>67990349</v>
      </c>
      <c r="H21" s="51">
        <f>SUMIF('F-65 Cross-walk'!$C15:$C146,'Data Input'!$B21,'F-65 Cross-walk'!J15:J146)</f>
        <v>73940332.710000008</v>
      </c>
      <c r="I21" s="12">
        <f>ROUND(G21/G$75,2)</f>
        <v>106.84</v>
      </c>
      <c r="J21" s="12">
        <f t="shared" ref="J21:J33" si="3">ROUND(H21/H$75,2)</f>
        <v>115.14</v>
      </c>
    </row>
    <row r="22" spans="1:10" ht="15" customHeight="1">
      <c r="B22" s="28" t="s">
        <v>57</v>
      </c>
      <c r="C22" s="51">
        <f>SUMIF('F-65 Cross-walk'!$C16:$C147,'Data Input'!$B22,'F-65 Cross-walk'!E16:E147)</f>
        <v>66134805</v>
      </c>
      <c r="D22" s="51">
        <f>SUMIF('F-65 Cross-walk'!$C16:$C147,'Data Input'!$B22,'F-65 Cross-walk'!F16:F147)</f>
        <v>65998422</v>
      </c>
      <c r="E22" s="51">
        <f>SUMIF('F-65 Cross-walk'!$C16:$C147,'Data Input'!$B22,'F-65 Cross-walk'!G16:G147)</f>
        <v>68006700</v>
      </c>
      <c r="F22" s="51">
        <f>SUMIF('F-65 Cross-walk'!$C16:$C147,'Data Input'!$B22,'F-65 Cross-walk'!H16:H147)</f>
        <v>69129354</v>
      </c>
      <c r="G22" s="51">
        <f>SUMIF('F-65 Cross-walk'!$C16:$C147,'Data Input'!$B22,'F-65 Cross-walk'!I16:I147)</f>
        <v>67958676</v>
      </c>
      <c r="H22" s="51">
        <f>SUMIF('F-65 Cross-walk'!$C16:$C147,'Data Input'!$B22,'F-65 Cross-walk'!J16:J147)</f>
        <v>76219109</v>
      </c>
      <c r="I22" s="12">
        <f t="shared" ref="I22:I33" si="4">ROUND(G22/G$75,2)</f>
        <v>106.79</v>
      </c>
      <c r="J22" s="12">
        <f t="shared" si="3"/>
        <v>118.69</v>
      </c>
    </row>
    <row r="23" spans="1:10" ht="15" hidden="1" customHeight="1">
      <c r="B23" s="28" t="s">
        <v>58</v>
      </c>
      <c r="C23" s="51">
        <f>SUMIF('F-65 Cross-walk'!$C17:$C148,'Data Input'!$B23,'F-65 Cross-walk'!D17:D148)</f>
        <v>0</v>
      </c>
      <c r="D23" s="51">
        <f>SUMIF('F-65 Cross-walk'!$C17:$C148,'Data Input'!$B23,'F-65 Cross-walk'!E17:E148)</f>
        <v>0</v>
      </c>
      <c r="E23" s="51">
        <f>SUMIF('F-65 Cross-walk'!$C17:$C148,'Data Input'!$B23,'F-65 Cross-walk'!F17:F148)</f>
        <v>0</v>
      </c>
      <c r="F23" s="51">
        <f>SUMIF('F-65 Cross-walk'!$C17:$C148,'Data Input'!$B23,'F-65 Cross-walk'!G17:G148)</f>
        <v>0</v>
      </c>
      <c r="G23" s="51">
        <f>SUMIF('F-65 Cross-walk'!$C17:$C148,'Data Input'!$B23,'F-65 Cross-walk'!H17:H148)</f>
        <v>0</v>
      </c>
      <c r="H23" s="51">
        <f>SUMIF('F-65 Cross-walk'!$C17:$C148,'Data Input'!$B23,'F-65 Cross-walk'!I17:I148)</f>
        <v>0</v>
      </c>
      <c r="I23" s="12">
        <f t="shared" si="4"/>
        <v>0</v>
      </c>
      <c r="J23" s="12">
        <f t="shared" si="3"/>
        <v>0</v>
      </c>
    </row>
    <row r="24" spans="1:10" ht="15" hidden="1" customHeight="1">
      <c r="B24" s="28" t="s">
        <v>40</v>
      </c>
      <c r="C24" s="51">
        <f>SUMIF('F-65 Cross-walk'!$C18:$C149,'Data Input'!$B24,'F-65 Cross-walk'!D18:D149)</f>
        <v>0</v>
      </c>
      <c r="D24" s="51">
        <f>SUMIF('F-65 Cross-walk'!$C18:$C149,'Data Input'!$B24,'F-65 Cross-walk'!E18:E149)</f>
        <v>0</v>
      </c>
      <c r="E24" s="51">
        <f>SUMIF('F-65 Cross-walk'!$C18:$C149,'Data Input'!$B24,'F-65 Cross-walk'!F18:F149)</f>
        <v>0</v>
      </c>
      <c r="F24" s="51">
        <f>SUMIF('F-65 Cross-walk'!$C18:$C149,'Data Input'!$B24,'F-65 Cross-walk'!G18:G149)</f>
        <v>0</v>
      </c>
      <c r="G24" s="51">
        <f>SUMIF('F-65 Cross-walk'!$C18:$C149,'Data Input'!$B24,'F-65 Cross-walk'!H18:H149)</f>
        <v>0</v>
      </c>
      <c r="H24" s="51">
        <f>SUMIF('F-65 Cross-walk'!$C18:$C149,'Data Input'!$B24,'F-65 Cross-walk'!I18:I149)</f>
        <v>0</v>
      </c>
      <c r="I24" s="12">
        <f t="shared" si="4"/>
        <v>0</v>
      </c>
      <c r="J24" s="12">
        <f t="shared" si="3"/>
        <v>0</v>
      </c>
    </row>
    <row r="25" spans="1:10" ht="15" hidden="1" customHeight="1">
      <c r="B25" s="28" t="s">
        <v>59</v>
      </c>
      <c r="C25" s="51">
        <f>SUMIF('F-65 Cross-walk'!$C19:$C150,'Data Input'!$B25,'F-65 Cross-walk'!D19:D150)</f>
        <v>0</v>
      </c>
      <c r="D25" s="51">
        <f>SUMIF('F-65 Cross-walk'!$C19:$C150,'Data Input'!$B25,'F-65 Cross-walk'!E19:E150)</f>
        <v>0</v>
      </c>
      <c r="E25" s="51">
        <f>SUMIF('F-65 Cross-walk'!$C19:$C150,'Data Input'!$B25,'F-65 Cross-walk'!F19:F150)</f>
        <v>0</v>
      </c>
      <c r="F25" s="51">
        <f>SUMIF('F-65 Cross-walk'!$C19:$C150,'Data Input'!$B25,'F-65 Cross-walk'!G19:G150)</f>
        <v>0</v>
      </c>
      <c r="G25" s="51">
        <f>SUMIF('F-65 Cross-walk'!$C19:$C150,'Data Input'!$B25,'F-65 Cross-walk'!H19:H150)</f>
        <v>0</v>
      </c>
      <c r="H25" s="51">
        <f>SUMIF('F-65 Cross-walk'!$C19:$C150,'Data Input'!$B25,'F-65 Cross-walk'!I19:I150)</f>
        <v>0</v>
      </c>
      <c r="I25" s="12">
        <f t="shared" si="4"/>
        <v>0</v>
      </c>
      <c r="J25" s="12">
        <f t="shared" si="3"/>
        <v>0</v>
      </c>
    </row>
    <row r="26" spans="1:10" ht="15" customHeight="1">
      <c r="B26" s="28" t="s">
        <v>60</v>
      </c>
      <c r="C26" s="51">
        <f>SUMIF('F-65 Cross-walk'!$C20:$C151,'Data Input'!$B26,'F-65 Cross-walk'!E20:E151)</f>
        <v>75995767</v>
      </c>
      <c r="D26" s="51">
        <f>SUMIF('F-65 Cross-walk'!$C20:$C151,'Data Input'!$B26,'F-65 Cross-walk'!F20:F151)</f>
        <v>64680826</v>
      </c>
      <c r="E26" s="51">
        <f>SUMIF('F-65 Cross-walk'!$C20:$C151,'Data Input'!$B26,'F-65 Cross-walk'!G20:G151)</f>
        <v>67103479</v>
      </c>
      <c r="F26" s="51">
        <f>SUMIF('F-65 Cross-walk'!$C20:$C151,'Data Input'!$B26,'F-65 Cross-walk'!H20:H151)</f>
        <v>68130796</v>
      </c>
      <c r="G26" s="51">
        <f>SUMIF('F-65 Cross-walk'!$C20:$C151,'Data Input'!$B26,'F-65 Cross-walk'!I20:I151)</f>
        <v>80981177</v>
      </c>
      <c r="H26" s="51">
        <f>SUMIF('F-65 Cross-walk'!$C20:$C151,'Data Input'!$B26,'F-65 Cross-walk'!J20:J151)</f>
        <v>70365923.5</v>
      </c>
      <c r="I26" s="12">
        <f t="shared" si="4"/>
        <v>127.26</v>
      </c>
      <c r="J26" s="12">
        <f t="shared" si="3"/>
        <v>109.57</v>
      </c>
    </row>
    <row r="27" spans="1:10" ht="15" customHeight="1">
      <c r="B27" s="28" t="s">
        <v>290</v>
      </c>
      <c r="C27" s="51">
        <f>SUMIF('F-65 Cross-walk'!$C21:$C152,'Data Input'!$B27,'F-65 Cross-walk'!E21:E152)</f>
        <v>12682777</v>
      </c>
      <c r="D27" s="51">
        <f>SUMIF('F-65 Cross-walk'!$C21:$C152,'Data Input'!$B27,'F-65 Cross-walk'!F21:F152)</f>
        <v>11174056</v>
      </c>
      <c r="E27" s="51">
        <f>SUMIF('F-65 Cross-walk'!$C21:$C152,'Data Input'!$B27,'F-65 Cross-walk'!G21:G152)</f>
        <v>10796942</v>
      </c>
      <c r="F27" s="51">
        <f>SUMIF('F-65 Cross-walk'!$C21:$C152,'Data Input'!$B27,'F-65 Cross-walk'!H21:H152)</f>
        <v>11538112</v>
      </c>
      <c r="G27" s="51">
        <f>SUMIF('F-65 Cross-walk'!$C21:$C152,'Data Input'!$B27,'F-65 Cross-walk'!I21:I152)</f>
        <v>18003748</v>
      </c>
      <c r="H27" s="51">
        <f>SUMIF('F-65 Cross-walk'!$C21:$C152,'Data Input'!$B27,'F-65 Cross-walk'!J21:J152)</f>
        <v>11907348.9</v>
      </c>
      <c r="I27" s="12">
        <f t="shared" si="4"/>
        <v>28.29</v>
      </c>
      <c r="J27" s="12">
        <f t="shared" si="3"/>
        <v>18.54</v>
      </c>
    </row>
    <row r="28" spans="1:10" ht="15" customHeight="1">
      <c r="B28" s="28" t="s">
        <v>61</v>
      </c>
      <c r="C28" s="51">
        <f>SUMIF('F-65 Cross-walk'!$C22:$C153,'Data Input'!$B28,'F-65 Cross-walk'!E22:E153)</f>
        <v>7593227</v>
      </c>
      <c r="D28" s="51">
        <f>SUMIF('F-65 Cross-walk'!$C22:$C153,'Data Input'!$B28,'F-65 Cross-walk'!F22:F153)</f>
        <v>7915210</v>
      </c>
      <c r="E28" s="51">
        <f>SUMIF('F-65 Cross-walk'!$C22:$C153,'Data Input'!$B28,'F-65 Cross-walk'!G22:G153)</f>
        <v>8474782</v>
      </c>
      <c r="F28" s="51">
        <f>SUMIF('F-65 Cross-walk'!$C22:$C153,'Data Input'!$B28,'F-65 Cross-walk'!H22:H153)</f>
        <v>6823542</v>
      </c>
      <c r="G28" s="51">
        <f>SUMIF('F-65 Cross-walk'!$C22:$C153,'Data Input'!$B28,'F-65 Cross-walk'!I22:I153)</f>
        <v>1651075</v>
      </c>
      <c r="H28" s="51">
        <f>SUMIF('F-65 Cross-walk'!$C22:$C153,'Data Input'!$B28,'F-65 Cross-walk'!J22:J153)</f>
        <v>7602757.4800000004</v>
      </c>
      <c r="I28" s="12">
        <f t="shared" si="4"/>
        <v>2.59</v>
      </c>
      <c r="J28" s="12">
        <f t="shared" si="3"/>
        <v>11.84</v>
      </c>
    </row>
    <row r="29" spans="1:10" ht="15" customHeight="1">
      <c r="B29" s="28" t="s">
        <v>62</v>
      </c>
      <c r="C29" s="51">
        <f>SUMIF('F-65 Cross-walk'!$C23:$C154,'Data Input'!$B29,'F-65 Cross-walk'!E23:E154)</f>
        <v>12735599</v>
      </c>
      <c r="D29" s="51">
        <f>SUMIF('F-65 Cross-walk'!$C23:$C154,'Data Input'!$B29,'F-65 Cross-walk'!F23:F154)</f>
        <v>12866888</v>
      </c>
      <c r="E29" s="51">
        <f>SUMIF('F-65 Cross-walk'!$C23:$C154,'Data Input'!$B29,'F-65 Cross-walk'!G23:G154)</f>
        <v>6775034</v>
      </c>
      <c r="F29" s="51">
        <f>SUMIF('F-65 Cross-walk'!$C23:$C154,'Data Input'!$B29,'F-65 Cross-walk'!H23:H154)</f>
        <v>7337899</v>
      </c>
      <c r="G29" s="51">
        <f>SUMIF('F-65 Cross-walk'!$C23:$C154,'Data Input'!$B29,'F-65 Cross-walk'!I23:I154)</f>
        <v>13982201</v>
      </c>
      <c r="H29" s="51">
        <f>SUMIF('F-65 Cross-walk'!$C23:$C154,'Data Input'!$B29,'F-65 Cross-walk'!J23:J154)</f>
        <v>15455606</v>
      </c>
      <c r="I29" s="12">
        <f t="shared" si="4"/>
        <v>21.97</v>
      </c>
      <c r="J29" s="12">
        <f t="shared" si="3"/>
        <v>24.07</v>
      </c>
    </row>
    <row r="30" spans="1:10" ht="15" customHeight="1">
      <c r="B30" s="28" t="s">
        <v>63</v>
      </c>
      <c r="C30" s="51">
        <f>SUMIF('F-65 Cross-walk'!$C24:$C155,'Data Input'!$B30,'F-65 Cross-walk'!E24:E155)</f>
        <v>11313212</v>
      </c>
      <c r="D30" s="51">
        <f>SUMIF('F-65 Cross-walk'!$C24:$C155,'Data Input'!$B30,'F-65 Cross-walk'!F24:F155)</f>
        <v>11359802</v>
      </c>
      <c r="E30" s="51">
        <f>SUMIF('F-65 Cross-walk'!$C24:$C155,'Data Input'!$B30,'F-65 Cross-walk'!G24:G155)</f>
        <v>12435283</v>
      </c>
      <c r="F30" s="51">
        <f>SUMIF('F-65 Cross-walk'!$C24:$C155,'Data Input'!$B30,'F-65 Cross-walk'!H24:H155)</f>
        <v>17559052</v>
      </c>
      <c r="G30" s="51">
        <f>SUMIF('F-65 Cross-walk'!$C24:$C155,'Data Input'!$B30,'F-65 Cross-walk'!I24:I155)</f>
        <v>12616315</v>
      </c>
      <c r="H30" s="51">
        <f>SUMIF('F-65 Cross-walk'!$C24:$C155,'Data Input'!$B30,'F-65 Cross-walk'!J24:J155)</f>
        <v>13088694</v>
      </c>
      <c r="I30" s="12">
        <f t="shared" si="4"/>
        <v>19.829999999999998</v>
      </c>
      <c r="J30" s="12">
        <f t="shared" si="3"/>
        <v>20.38</v>
      </c>
    </row>
    <row r="31" spans="1:10" ht="15" customHeight="1">
      <c r="B31" s="28" t="s">
        <v>54</v>
      </c>
      <c r="C31" s="51">
        <f>SUMIF('F-65 Cross-walk'!$C25:$C156,'Data Input'!$B31,'F-65 Cross-walk'!E25:E156)</f>
        <v>48508539</v>
      </c>
      <c r="D31" s="51">
        <f>SUMIF('F-65 Cross-walk'!$C25:$C156,'Data Input'!$B31,'F-65 Cross-walk'!F25:F156)</f>
        <v>43432326</v>
      </c>
      <c r="E31" s="51">
        <f>SUMIF('F-65 Cross-walk'!$C25:$C156,'Data Input'!$B31,'F-65 Cross-walk'!G25:G156)</f>
        <v>43406848</v>
      </c>
      <c r="F31" s="51">
        <f>SUMIF('F-65 Cross-walk'!$C25:$C156,'Data Input'!$B31,'F-65 Cross-walk'!H25:H156)</f>
        <v>43847251</v>
      </c>
      <c r="G31" s="51">
        <f>SUMIF('F-65 Cross-walk'!$C25:$C156,'Data Input'!$B31,'F-65 Cross-walk'!I25:I156)</f>
        <v>49940296</v>
      </c>
      <c r="H31" s="51">
        <f>SUMIF('F-65 Cross-walk'!$C25:$C156,'Data Input'!$B31,'F-65 Cross-walk'!J25:J156)</f>
        <v>46516383</v>
      </c>
      <c r="I31" s="12">
        <f t="shared" si="4"/>
        <v>78.48</v>
      </c>
      <c r="J31" s="12">
        <f t="shared" si="3"/>
        <v>72.44</v>
      </c>
    </row>
    <row r="32" spans="1:10" ht="15" customHeight="1">
      <c r="B32" s="29" t="s">
        <v>55</v>
      </c>
      <c r="C32" s="32">
        <f t="shared" ref="C32:H32" si="5">SUM(C21:C31)</f>
        <v>300741435</v>
      </c>
      <c r="D32" s="32">
        <f t="shared" si="5"/>
        <v>294150248</v>
      </c>
      <c r="E32" s="32">
        <f t="shared" si="5"/>
        <v>288252128</v>
      </c>
      <c r="F32" s="32">
        <f t="shared" si="5"/>
        <v>295188332</v>
      </c>
      <c r="G32" s="32">
        <f t="shared" si="5"/>
        <v>313123837</v>
      </c>
      <c r="H32" s="32">
        <f t="shared" si="5"/>
        <v>315096154.59000003</v>
      </c>
      <c r="I32" s="32">
        <f t="shared" si="4"/>
        <v>492.05</v>
      </c>
      <c r="J32" s="32">
        <f t="shared" si="3"/>
        <v>490.67</v>
      </c>
    </row>
    <row r="33" spans="1:10" ht="15.75" customHeight="1" thickBot="1">
      <c r="B33" s="12" t="s">
        <v>64</v>
      </c>
      <c r="C33" s="33">
        <f t="shared" ref="C33:H33" si="6">+C19-C32</f>
        <v>-11115455</v>
      </c>
      <c r="D33" s="33">
        <f t="shared" si="6"/>
        <v>-7967828</v>
      </c>
      <c r="E33" s="33">
        <f t="shared" si="6"/>
        <v>-2685897</v>
      </c>
      <c r="F33" s="33">
        <f t="shared" si="6"/>
        <v>3946488</v>
      </c>
      <c r="G33" s="33">
        <f t="shared" si="6"/>
        <v>13010604</v>
      </c>
      <c r="H33" s="33">
        <f t="shared" si="6"/>
        <v>21779639.769999921</v>
      </c>
      <c r="I33" s="33">
        <f t="shared" si="4"/>
        <v>20.45</v>
      </c>
      <c r="J33" s="33">
        <f t="shared" si="3"/>
        <v>33.92</v>
      </c>
    </row>
    <row r="34" spans="1:10" ht="15.75" customHeight="1" thickTop="1">
      <c r="A34" s="23" t="s">
        <v>65</v>
      </c>
    </row>
    <row r="35" spans="1:10" ht="17.25" customHeight="1">
      <c r="I35" s="21"/>
      <c r="J35" s="21"/>
    </row>
    <row r="36" spans="1:10" ht="15" customHeight="1">
      <c r="B36" s="12" t="s">
        <v>1</v>
      </c>
      <c r="C36" s="51">
        <f>SUMIF('F-65 Cross-walk'!$C30:$C161,'Data Input'!$B36,'F-65 Cross-walk'!E30:E161)</f>
        <v>1258880</v>
      </c>
      <c r="D36" s="51">
        <f>SUMIF('F-65 Cross-walk'!$C30:$C161,'Data Input'!$B36,'F-65 Cross-walk'!F30:F161)</f>
        <v>1416966</v>
      </c>
      <c r="E36" s="51">
        <f>SUMIF('F-65 Cross-walk'!$C30:$C161,'Data Input'!$B36,'F-65 Cross-walk'!G30:G161)</f>
        <v>1967152</v>
      </c>
      <c r="F36" s="51">
        <f>SUMIF('F-65 Cross-walk'!$C30:$C161,'Data Input'!$B36,'F-65 Cross-walk'!H30:H161)</f>
        <v>2140222</v>
      </c>
      <c r="G36" s="51">
        <f>SUMIF('F-65 Cross-walk'!$C30:$C161,'Data Input'!$B36,'F-65 Cross-walk'!I30:I161)</f>
        <v>1298984</v>
      </c>
      <c r="H36" s="51">
        <f>SUMIF('F-65 Cross-walk'!$C30:$C161,'Data Input'!$B36,'F-65 Cross-walk'!J30:J161)</f>
        <v>1925725</v>
      </c>
      <c r="I36" s="12">
        <f t="shared" ref="I36:J41" si="7">ROUND(G36/G$75,2)</f>
        <v>2.04</v>
      </c>
      <c r="J36" s="12">
        <f t="shared" si="7"/>
        <v>3</v>
      </c>
    </row>
    <row r="37" spans="1:10" ht="15" customHeight="1">
      <c r="B37" s="12" t="s">
        <v>32</v>
      </c>
      <c r="C37" s="51">
        <f>SUMIF('F-65 Cross-walk'!$C31:$C162,'Data Input'!$B37,'F-65 Cross-walk'!E31:E162)</f>
        <v>25236629</v>
      </c>
      <c r="D37" s="51">
        <f>SUMIF('F-65 Cross-walk'!$C31:$C162,'Data Input'!$B37,'F-65 Cross-walk'!F31:F162)</f>
        <v>15786664</v>
      </c>
      <c r="E37" s="51">
        <f>SUMIF('F-65 Cross-walk'!$C31:$C162,'Data Input'!$B37,'F-65 Cross-walk'!G31:G162)</f>
        <v>11292058</v>
      </c>
      <c r="F37" s="51">
        <f>SUMIF('F-65 Cross-walk'!$C31:$C162,'Data Input'!$B37,'F-65 Cross-walk'!H31:H162)</f>
        <v>13050442</v>
      </c>
      <c r="G37" s="51">
        <f>SUMIF('F-65 Cross-walk'!$C31:$C162,'Data Input'!$B37,'F-65 Cross-walk'!I31:I162)</f>
        <v>12202392</v>
      </c>
      <c r="H37" s="51">
        <f>SUMIF('F-65 Cross-walk'!$C31:$C162,'Data Input'!$B37,'F-65 Cross-walk'!J31:J162)</f>
        <v>47047415</v>
      </c>
      <c r="I37" s="12">
        <f t="shared" si="7"/>
        <v>19.18</v>
      </c>
      <c r="J37" s="12">
        <f t="shared" si="7"/>
        <v>73.260000000000005</v>
      </c>
    </row>
    <row r="38" spans="1:10" ht="15" customHeight="1">
      <c r="B38" s="12" t="s">
        <v>20</v>
      </c>
      <c r="C38" s="51">
        <f>SUMIF('F-65 Cross-walk'!$C32:$C163,'Data Input'!$B38,'F-65 Cross-walk'!E32:E163)</f>
        <v>23054680</v>
      </c>
      <c r="D38" s="51">
        <f>SUMIF('F-65 Cross-walk'!$C32:$C163,'Data Input'!$B38,'F-65 Cross-walk'!F32:F163)</f>
        <v>23452233</v>
      </c>
      <c r="E38" s="51">
        <f>SUMIF('F-65 Cross-walk'!$C32:$C163,'Data Input'!$B38,'F-65 Cross-walk'!G32:G163)</f>
        <v>23380820</v>
      </c>
      <c r="F38" s="51">
        <f>SUMIF('F-65 Cross-walk'!$C32:$C163,'Data Input'!$B38,'F-65 Cross-walk'!H32:H163)</f>
        <v>23861959</v>
      </c>
      <c r="G38" s="51">
        <f>SUMIF('F-65 Cross-walk'!$C32:$C163,'Data Input'!$B38,'F-65 Cross-walk'!I32:I163)</f>
        <v>24916354</v>
      </c>
      <c r="H38" s="51">
        <f>SUMIF('F-65 Cross-walk'!$C32:$C163,'Data Input'!$B38,'F-65 Cross-walk'!J32:J163)</f>
        <v>27865315</v>
      </c>
      <c r="I38" s="12">
        <f t="shared" si="7"/>
        <v>39.15</v>
      </c>
      <c r="J38" s="12">
        <f t="shared" si="7"/>
        <v>43.39</v>
      </c>
    </row>
    <row r="39" spans="1:10" ht="15" customHeight="1">
      <c r="B39" s="12" t="s">
        <v>25</v>
      </c>
      <c r="C39" s="51">
        <f>SUMIF('F-65 Cross-walk'!$C33:$C164,'Data Input'!$B39,'F-65 Cross-walk'!E33:E164)</f>
        <v>5974741</v>
      </c>
      <c r="D39" s="51">
        <f>SUMIF('F-65 Cross-walk'!$C33:$C164,'Data Input'!$B39,'F-65 Cross-walk'!F33:F164)</f>
        <v>7259258</v>
      </c>
      <c r="E39" s="51">
        <f>SUMIF('F-65 Cross-walk'!$C33:$C164,'Data Input'!$B39,'F-65 Cross-walk'!G33:G164)</f>
        <v>9077348</v>
      </c>
      <c r="F39" s="51">
        <f>SUMIF('F-65 Cross-walk'!$C33:$C164,'Data Input'!$B39,'F-65 Cross-walk'!H33:H164)</f>
        <v>11040579</v>
      </c>
      <c r="G39" s="51">
        <f>SUMIF('F-65 Cross-walk'!$C33:$C164,'Data Input'!$B39,'F-65 Cross-walk'!I33:I164)</f>
        <v>19571880</v>
      </c>
      <c r="H39" s="51">
        <f>SUMIF('F-65 Cross-walk'!$C33:$C164,'Data Input'!$B39,'F-65 Cross-walk'!J33:J164)</f>
        <v>2961583</v>
      </c>
      <c r="I39" s="12">
        <f t="shared" si="7"/>
        <v>30.76</v>
      </c>
      <c r="J39" s="12">
        <f t="shared" si="7"/>
        <v>4.6100000000000003</v>
      </c>
    </row>
    <row r="40" spans="1:10" ht="15" customHeight="1">
      <c r="B40" s="12" t="s">
        <v>11</v>
      </c>
      <c r="C40" s="51">
        <f>SUMIF('F-65 Cross-walk'!$C34:$C165,'Data Input'!$B40,'F-65 Cross-walk'!E34:E165)</f>
        <v>44428169</v>
      </c>
      <c r="D40" s="51">
        <f>SUMIF('F-65 Cross-walk'!$C34:$C165,'Data Input'!$B40,'F-65 Cross-walk'!F34:F165)</f>
        <v>43970150</v>
      </c>
      <c r="E40" s="51">
        <f>SUMIF('F-65 Cross-walk'!$C34:$C165,'Data Input'!$B40,'F-65 Cross-walk'!G34:G165)</f>
        <v>43481995</v>
      </c>
      <c r="F40" s="51">
        <f>SUMIF('F-65 Cross-walk'!$C34:$C165,'Data Input'!$B40,'F-65 Cross-walk'!H34:H165)</f>
        <v>42936311</v>
      </c>
      <c r="G40" s="51">
        <f>SUMIF('F-65 Cross-walk'!$C34:$C165,'Data Input'!$B40,'F-65 Cross-walk'!I34:I165)</f>
        <v>43277242</v>
      </c>
      <c r="H40" s="51">
        <f>SUMIF('F-65 Cross-walk'!$C34:$C165,'Data Input'!$B40,'F-65 Cross-walk'!J34:J165)</f>
        <v>42569409</v>
      </c>
      <c r="I40" s="12">
        <f t="shared" si="7"/>
        <v>68.010000000000005</v>
      </c>
      <c r="J40" s="12">
        <f t="shared" si="7"/>
        <v>66.290000000000006</v>
      </c>
    </row>
    <row r="41" spans="1:10" ht="15.75" customHeight="1" thickBot="1">
      <c r="B41" s="34" t="s">
        <v>66</v>
      </c>
      <c r="C41" s="33">
        <f t="shared" ref="C41:H41" si="8">SUM(C36:C40)</f>
        <v>99953099</v>
      </c>
      <c r="D41" s="33">
        <f t="shared" si="8"/>
        <v>91885271</v>
      </c>
      <c r="E41" s="33">
        <f t="shared" si="8"/>
        <v>89199373</v>
      </c>
      <c r="F41" s="33">
        <f t="shared" si="8"/>
        <v>93029513</v>
      </c>
      <c r="G41" s="33">
        <f t="shared" si="8"/>
        <v>101266852</v>
      </c>
      <c r="H41" s="33">
        <f t="shared" si="8"/>
        <v>122369447</v>
      </c>
      <c r="I41" s="35">
        <f t="shared" si="7"/>
        <v>159.13</v>
      </c>
      <c r="J41" s="35">
        <f t="shared" si="7"/>
        <v>190.56</v>
      </c>
    </row>
    <row r="42" spans="1:10" ht="15.75" customHeight="1"/>
    <row r="44" spans="1:10" ht="17.25" customHeight="1">
      <c r="A44" s="23" t="s">
        <v>13</v>
      </c>
      <c r="C44" s="36"/>
      <c r="D44" s="36"/>
      <c r="E44" s="36"/>
      <c r="F44" s="36"/>
      <c r="G44" s="36"/>
      <c r="H44" s="36"/>
      <c r="I44" s="37"/>
      <c r="J44" s="37"/>
    </row>
    <row r="45" spans="1:10" ht="17.25" customHeight="1">
      <c r="A45" s="26" t="s">
        <v>33</v>
      </c>
      <c r="I45" s="21"/>
      <c r="J45" s="21"/>
    </row>
    <row r="46" spans="1:10" ht="17.25" customHeight="1">
      <c r="A46" s="12" t="s">
        <v>38</v>
      </c>
      <c r="C46" s="52">
        <v>40908</v>
      </c>
      <c r="D46" s="52">
        <f>C46+365</f>
        <v>41273</v>
      </c>
      <c r="E46" s="52">
        <f>D46+366</f>
        <v>41639</v>
      </c>
      <c r="F46" s="52">
        <f>E46+365</f>
        <v>42004</v>
      </c>
      <c r="G46" s="52">
        <f>F46+365</f>
        <v>42369</v>
      </c>
      <c r="H46" s="52">
        <f>G46+366</f>
        <v>42735</v>
      </c>
      <c r="I46" s="37"/>
      <c r="J46" s="21"/>
    </row>
    <row r="47" spans="1:10" ht="15" customHeight="1">
      <c r="B47" s="38" t="s">
        <v>10</v>
      </c>
      <c r="C47" s="51">
        <v>614855931</v>
      </c>
      <c r="D47" s="51">
        <v>644210465</v>
      </c>
      <c r="E47" s="51">
        <v>693348539</v>
      </c>
      <c r="F47" s="51">
        <v>746298467</v>
      </c>
      <c r="G47" s="51">
        <v>771969061</v>
      </c>
      <c r="H47" s="51">
        <v>788089260</v>
      </c>
    </row>
    <row r="48" spans="1:10" ht="15" customHeight="1">
      <c r="B48" s="38" t="s">
        <v>35</v>
      </c>
      <c r="C48" s="51">
        <v>650110580</v>
      </c>
      <c r="D48" s="51">
        <v>678725155</v>
      </c>
      <c r="E48" s="51">
        <v>717437965</v>
      </c>
      <c r="F48" s="51">
        <v>743093569</v>
      </c>
      <c r="G48" s="51">
        <v>803932291</v>
      </c>
      <c r="H48" s="51">
        <v>832554668</v>
      </c>
    </row>
    <row r="49" spans="1:10" ht="15" customHeight="1">
      <c r="B49" s="38" t="s">
        <v>2</v>
      </c>
      <c r="C49" s="12">
        <f t="shared" ref="C49:H49" si="9">+C48-C47</f>
        <v>35254649</v>
      </c>
      <c r="D49" s="12">
        <f t="shared" si="9"/>
        <v>34514690</v>
      </c>
      <c r="E49" s="12">
        <f t="shared" si="9"/>
        <v>24089426</v>
      </c>
      <c r="F49" s="12">
        <f t="shared" si="9"/>
        <v>-3204898</v>
      </c>
      <c r="G49" s="12">
        <f t="shared" si="9"/>
        <v>31963230</v>
      </c>
      <c r="H49" s="12">
        <f t="shared" si="9"/>
        <v>44465408</v>
      </c>
      <c r="I49" s="39">
        <f>ROUND(F49/$G$75,2)</f>
        <v>-5.04</v>
      </c>
      <c r="J49" s="39">
        <f>ROUND(H49/H$75,2)</f>
        <v>69.239999999999995</v>
      </c>
    </row>
    <row r="50" spans="1:10" ht="15" customHeight="1">
      <c r="A50" s="29"/>
      <c r="B50" s="12" t="s">
        <v>26</v>
      </c>
      <c r="C50" s="40">
        <f t="shared" ref="C50:H50" si="10">+C47/C48</f>
        <v>0.9457713040141571</v>
      </c>
      <c r="D50" s="40">
        <f t="shared" si="10"/>
        <v>0.94914776659485978</v>
      </c>
      <c r="E50" s="40">
        <f t="shared" si="10"/>
        <v>0.96642298404155402</v>
      </c>
      <c r="F50" s="40">
        <f t="shared" si="10"/>
        <v>1.0043129131157909</v>
      </c>
      <c r="G50" s="40">
        <f t="shared" si="10"/>
        <v>0.96024139052775026</v>
      </c>
      <c r="H50" s="40">
        <f t="shared" si="10"/>
        <v>0.94659160568180256</v>
      </c>
      <c r="I50" s="41"/>
      <c r="J50" s="41"/>
    </row>
    <row r="51" spans="1:10" ht="15" customHeight="1">
      <c r="A51" s="26" t="s">
        <v>19</v>
      </c>
    </row>
    <row r="52" spans="1:10" ht="17.25" customHeight="1">
      <c r="A52" s="12" t="s">
        <v>38</v>
      </c>
      <c r="C52" s="52">
        <v>40908</v>
      </c>
      <c r="D52" s="52">
        <f>C52+365</f>
        <v>41273</v>
      </c>
      <c r="E52" s="52">
        <f>D52+366</f>
        <v>41639</v>
      </c>
      <c r="F52" s="52">
        <f>E52+365</f>
        <v>42004</v>
      </c>
      <c r="G52" s="52">
        <f>F52+365</f>
        <v>42369</v>
      </c>
      <c r="H52" s="52">
        <f>G52+366</f>
        <v>42735</v>
      </c>
      <c r="I52" s="37"/>
      <c r="J52" s="21"/>
    </row>
    <row r="53" spans="1:10" ht="15" customHeight="1">
      <c r="B53" s="38" t="s">
        <v>10</v>
      </c>
      <c r="C53" s="51">
        <v>10531436</v>
      </c>
      <c r="D53" s="51">
        <v>12605625</v>
      </c>
      <c r="E53" s="51">
        <v>15178339</v>
      </c>
      <c r="F53" s="51">
        <v>16705220</v>
      </c>
      <c r="G53" s="51">
        <v>17140234</v>
      </c>
      <c r="H53" s="51">
        <v>19656145</v>
      </c>
    </row>
    <row r="54" spans="1:10" ht="15" customHeight="1">
      <c r="B54" s="38" t="s">
        <v>35</v>
      </c>
      <c r="C54" s="51">
        <v>44257602</v>
      </c>
      <c r="D54" s="51">
        <v>48975067</v>
      </c>
      <c r="E54" s="51">
        <v>50174616</v>
      </c>
      <c r="F54" s="51">
        <v>52899776</v>
      </c>
      <c r="G54" s="51">
        <v>55167726</v>
      </c>
      <c r="H54" s="51">
        <v>53997661</v>
      </c>
    </row>
    <row r="55" spans="1:10" ht="15" customHeight="1">
      <c r="B55" s="38" t="s">
        <v>14</v>
      </c>
      <c r="C55" s="28">
        <f t="shared" ref="C55:H55" si="11">+C54-C53</f>
        <v>33726166</v>
      </c>
      <c r="D55" s="28">
        <f t="shared" si="11"/>
        <v>36369442</v>
      </c>
      <c r="E55" s="28">
        <f t="shared" si="11"/>
        <v>34996277</v>
      </c>
      <c r="F55" s="28">
        <f t="shared" si="11"/>
        <v>36194556</v>
      </c>
      <c r="G55" s="28">
        <f t="shared" si="11"/>
        <v>38027492</v>
      </c>
      <c r="H55" s="28">
        <f t="shared" si="11"/>
        <v>34341516</v>
      </c>
      <c r="I55" s="39">
        <f>ROUND(G55/$G$75,2)</f>
        <v>59.76</v>
      </c>
      <c r="J55" s="39">
        <f t="shared" ref="J55" si="12">ROUND(H55/H$75,2)</f>
        <v>53.48</v>
      </c>
    </row>
    <row r="56" spans="1:10" ht="15" customHeight="1">
      <c r="A56" s="29"/>
      <c r="B56" s="12" t="s">
        <v>26</v>
      </c>
      <c r="C56" s="40">
        <f t="shared" ref="C56:H56" si="13">+C53/C54</f>
        <v>0.23795767335067092</v>
      </c>
      <c r="D56" s="40">
        <f t="shared" si="13"/>
        <v>0.25738862184711253</v>
      </c>
      <c r="E56" s="40">
        <f t="shared" si="13"/>
        <v>0.30251031716914384</v>
      </c>
      <c r="F56" s="40">
        <f t="shared" si="13"/>
        <v>0.31578999502757821</v>
      </c>
      <c r="G56" s="40">
        <f t="shared" si="13"/>
        <v>0.31069313968097945</v>
      </c>
      <c r="H56" s="40">
        <f t="shared" si="13"/>
        <v>0.36401845257704774</v>
      </c>
      <c r="I56" s="41"/>
      <c r="J56" s="41"/>
    </row>
    <row r="57" spans="1:10" ht="15" customHeight="1">
      <c r="A57" s="13" t="s">
        <v>76</v>
      </c>
    </row>
    <row r="58" spans="1:10" ht="15" customHeight="1">
      <c r="B58" s="38" t="s">
        <v>10</v>
      </c>
      <c r="C58" s="12">
        <f t="shared" ref="C58:H59" si="14">+C47+C53</f>
        <v>625387367</v>
      </c>
      <c r="D58" s="12">
        <f t="shared" si="14"/>
        <v>656816090</v>
      </c>
      <c r="E58" s="12">
        <f t="shared" si="14"/>
        <v>708526878</v>
      </c>
      <c r="F58" s="12">
        <f t="shared" si="14"/>
        <v>763003687</v>
      </c>
      <c r="G58" s="12">
        <f t="shared" si="14"/>
        <v>789109295</v>
      </c>
      <c r="H58" s="12">
        <f>+H47+H53</f>
        <v>807745405</v>
      </c>
    </row>
    <row r="59" spans="1:10" ht="15" customHeight="1">
      <c r="B59" s="38" t="s">
        <v>35</v>
      </c>
      <c r="C59" s="12">
        <f t="shared" si="14"/>
        <v>694368182</v>
      </c>
      <c r="D59" s="12">
        <f t="shared" si="14"/>
        <v>727700222</v>
      </c>
      <c r="E59" s="12">
        <f t="shared" si="14"/>
        <v>767612581</v>
      </c>
      <c r="F59" s="12">
        <f t="shared" si="14"/>
        <v>795993345</v>
      </c>
      <c r="G59" s="12">
        <f t="shared" si="14"/>
        <v>859100017</v>
      </c>
      <c r="H59" s="12">
        <f t="shared" si="14"/>
        <v>886552329</v>
      </c>
    </row>
    <row r="60" spans="1:10" ht="15" customHeight="1">
      <c r="B60" s="38" t="s">
        <v>14</v>
      </c>
      <c r="C60" s="12">
        <f t="shared" ref="C60:H60" si="15">+C59-C58</f>
        <v>68980815</v>
      </c>
      <c r="D60" s="12">
        <f t="shared" si="15"/>
        <v>70884132</v>
      </c>
      <c r="E60" s="12">
        <f t="shared" si="15"/>
        <v>59085703</v>
      </c>
      <c r="F60" s="12">
        <f t="shared" si="15"/>
        <v>32989658</v>
      </c>
      <c r="G60" s="12">
        <f t="shared" si="15"/>
        <v>69990722</v>
      </c>
      <c r="H60" s="12">
        <f t="shared" si="15"/>
        <v>78806924</v>
      </c>
      <c r="I60" s="39">
        <f>ROUND(G60/$G$75,2)</f>
        <v>109.98</v>
      </c>
      <c r="J60" s="39">
        <f t="shared" ref="J60" si="16">ROUND(H60/H$75,2)</f>
        <v>122.72</v>
      </c>
    </row>
    <row r="61" spans="1:10" ht="15" customHeight="1">
      <c r="B61" s="12" t="s">
        <v>26</v>
      </c>
      <c r="C61" s="40">
        <f t="shared" ref="C61:H61" si="17">+C58/C59</f>
        <v>0.90065671672726499</v>
      </c>
      <c r="D61" s="40">
        <f t="shared" si="17"/>
        <v>0.90259157568320769</v>
      </c>
      <c r="E61" s="40">
        <f t="shared" si="17"/>
        <v>0.92302666154451685</v>
      </c>
      <c r="F61" s="40">
        <f t="shared" si="17"/>
        <v>0.95855535953004734</v>
      </c>
      <c r="G61" s="40">
        <f t="shared" si="17"/>
        <v>0.91853018203350822</v>
      </c>
      <c r="H61" s="40">
        <f t="shared" si="17"/>
        <v>0.91110854777304406</v>
      </c>
      <c r="I61" s="41"/>
      <c r="J61" s="41"/>
    </row>
    <row r="63" spans="1:10" ht="15" customHeight="1">
      <c r="A63" s="28"/>
      <c r="C63" s="28"/>
      <c r="D63" s="28"/>
      <c r="E63" s="28"/>
      <c r="F63" s="28"/>
      <c r="G63" s="28"/>
      <c r="H63" s="28"/>
    </row>
    <row r="64" spans="1:10" ht="15" customHeight="1">
      <c r="A64" s="93" t="s">
        <v>139</v>
      </c>
      <c r="B64" s="133" t="s">
        <v>480</v>
      </c>
    </row>
    <row r="65" spans="1:11" ht="15" customHeight="1">
      <c r="A65" s="42" t="s">
        <v>68</v>
      </c>
      <c r="B65" s="28"/>
      <c r="C65" s="94">
        <f>131026449+203745155+42870000</f>
        <v>377641604</v>
      </c>
      <c r="D65" s="94">
        <f>126054680+187389536+48970000</f>
        <v>362414216</v>
      </c>
      <c r="E65" s="94">
        <f>119546567+181726240+42930000</f>
        <v>344202807</v>
      </c>
      <c r="F65" s="94">
        <f>113027827-1237827+4028825+205615000+6775501</f>
        <v>328209326</v>
      </c>
      <c r="G65" s="94">
        <f>105150000+3779240+3668005+203030000+21134241</f>
        <v>336761486</v>
      </c>
      <c r="H65" s="94">
        <f>118950000+2834430+7990166+31620000+108548</f>
        <v>161503144</v>
      </c>
      <c r="I65" s="114"/>
      <c r="J65" s="114"/>
      <c r="K65" s="12">
        <f>134844525</f>
        <v>134844525</v>
      </c>
    </row>
    <row r="66" spans="1:11" ht="15" customHeight="1">
      <c r="A66" s="42" t="s">
        <v>69</v>
      </c>
      <c r="B66" s="28"/>
      <c r="C66" s="51">
        <f>565856+228460</f>
        <v>794316</v>
      </c>
      <c r="D66" s="51">
        <v>468633</v>
      </c>
      <c r="E66" s="51">
        <v>127057</v>
      </c>
      <c r="F66" s="51">
        <v>1237827</v>
      </c>
      <c r="G66" s="51">
        <v>676100</v>
      </c>
      <c r="H66" s="51">
        <v>97980</v>
      </c>
      <c r="K66" s="12">
        <v>59038852</v>
      </c>
    </row>
    <row r="67" spans="1:11" ht="15" customHeight="1">
      <c r="A67" s="42" t="s">
        <v>70</v>
      </c>
      <c r="B67" s="28"/>
      <c r="C67" s="51">
        <v>0</v>
      </c>
      <c r="D67" s="51">
        <v>0</v>
      </c>
      <c r="E67" s="51">
        <v>0</v>
      </c>
      <c r="F67" s="113">
        <v>0</v>
      </c>
      <c r="G67" s="113">
        <v>0</v>
      </c>
      <c r="H67" s="113">
        <v>0</v>
      </c>
      <c r="K67" s="12">
        <f>SUM(K65:K66)</f>
        <v>193883377</v>
      </c>
    </row>
    <row r="68" spans="1:11" ht="15" customHeight="1">
      <c r="A68" s="43" t="s">
        <v>71</v>
      </c>
      <c r="B68" s="31"/>
      <c r="C68" s="44">
        <f t="shared" ref="C68:H68" si="18">SUM(C64:C67)</f>
        <v>378435920</v>
      </c>
      <c r="D68" s="44">
        <f t="shared" si="18"/>
        <v>362882849</v>
      </c>
      <c r="E68" s="44">
        <f t="shared" si="18"/>
        <v>344329864</v>
      </c>
      <c r="F68" s="44">
        <f t="shared" si="18"/>
        <v>329447153</v>
      </c>
      <c r="G68" s="44">
        <f t="shared" si="18"/>
        <v>337437586</v>
      </c>
      <c r="H68" s="44">
        <f t="shared" si="18"/>
        <v>161601124</v>
      </c>
      <c r="I68" s="39">
        <f>ROUND(G68/$G$75,2)</f>
        <v>530.25</v>
      </c>
      <c r="J68" s="39">
        <f t="shared" ref="J68:J72" si="19">ROUND(H68/H$75,2)</f>
        <v>251.65</v>
      </c>
    </row>
    <row r="69" spans="1:11" ht="15" customHeight="1">
      <c r="A69" s="28" t="s">
        <v>72</v>
      </c>
      <c r="B69" s="28"/>
      <c r="C69" s="51">
        <v>4690771</v>
      </c>
      <c r="D69" s="51">
        <v>4640992</v>
      </c>
      <c r="E69" s="51">
        <v>4742622</v>
      </c>
      <c r="F69" s="51">
        <v>4826509</v>
      </c>
      <c r="G69" s="51">
        <v>4918561</v>
      </c>
      <c r="H69" s="51">
        <v>4941021</v>
      </c>
      <c r="I69" s="39">
        <f t="shared" ref="I69:I72" si="20">ROUND(G69/$G$75,2)</f>
        <v>7.73</v>
      </c>
      <c r="J69" s="39">
        <f t="shared" si="19"/>
        <v>7.69</v>
      </c>
      <c r="K69" s="12">
        <v>121882410</v>
      </c>
    </row>
    <row r="70" spans="1:11" ht="15" customHeight="1">
      <c r="A70" s="28" t="s">
        <v>73</v>
      </c>
      <c r="B70" s="28"/>
      <c r="C70" s="51">
        <v>19211541</v>
      </c>
      <c r="D70" s="51">
        <v>19899309</v>
      </c>
      <c r="E70" s="51">
        <v>20764495</v>
      </c>
      <c r="F70" s="51">
        <v>21970485</v>
      </c>
      <c r="G70" s="51">
        <v>23034061</v>
      </c>
      <c r="H70" s="51">
        <v>27310304</v>
      </c>
      <c r="I70" s="39">
        <f t="shared" si="20"/>
        <v>36.200000000000003</v>
      </c>
      <c r="J70" s="39">
        <f t="shared" si="19"/>
        <v>42.53</v>
      </c>
      <c r="K70" s="12">
        <v>31620000</v>
      </c>
    </row>
    <row r="71" spans="1:11" ht="15" customHeight="1">
      <c r="A71" s="28" t="s">
        <v>74</v>
      </c>
      <c r="B71" s="28"/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39">
        <f t="shared" si="20"/>
        <v>0</v>
      </c>
      <c r="J71" s="39">
        <f t="shared" si="19"/>
        <v>0</v>
      </c>
      <c r="K71" s="12">
        <v>14505000</v>
      </c>
    </row>
    <row r="72" spans="1:11" ht="15" customHeight="1">
      <c r="A72" s="28" t="s">
        <v>75</v>
      </c>
      <c r="B72" s="28"/>
      <c r="C72" s="94">
        <f>136167+111000</f>
        <v>247167</v>
      </c>
      <c r="D72" s="94">
        <v>30928</v>
      </c>
      <c r="E72" s="94">
        <v>30928</v>
      </c>
      <c r="F72" s="94">
        <v>30928</v>
      </c>
      <c r="G72" s="94">
        <v>30928</v>
      </c>
      <c r="H72" s="94">
        <v>30928</v>
      </c>
      <c r="I72" s="39">
        <f t="shared" si="20"/>
        <v>0.05</v>
      </c>
      <c r="J72" s="39">
        <f t="shared" si="19"/>
        <v>0.05</v>
      </c>
      <c r="K72" s="12">
        <f>SUM(K69:K71)</f>
        <v>168007410</v>
      </c>
    </row>
    <row r="73" spans="1:11" ht="31.5" customHeight="1" thickBot="1">
      <c r="A73" s="28"/>
      <c r="B73" s="45" t="s">
        <v>142</v>
      </c>
      <c r="C73" s="46">
        <f t="shared" ref="C73:H73" si="21">SUM(C68:C72)</f>
        <v>402585399</v>
      </c>
      <c r="D73" s="46">
        <f t="shared" si="21"/>
        <v>387454078</v>
      </c>
      <c r="E73" s="46">
        <f t="shared" si="21"/>
        <v>369867909</v>
      </c>
      <c r="F73" s="46">
        <f t="shared" si="21"/>
        <v>356275075</v>
      </c>
      <c r="G73" s="46">
        <f t="shared" si="21"/>
        <v>365421136</v>
      </c>
      <c r="H73" s="46">
        <f t="shared" si="21"/>
        <v>193883377</v>
      </c>
      <c r="I73" s="39">
        <f>ROUND(G73/$G$75,2)</f>
        <v>574.23</v>
      </c>
      <c r="J73" s="39">
        <f>ROUND(H73/H$75,2)</f>
        <v>301.92</v>
      </c>
      <c r="K73" s="12">
        <v>-2834430</v>
      </c>
    </row>
    <row r="74" spans="1:11" ht="15.75" customHeight="1" thickTop="1">
      <c r="K74" s="12">
        <f>SUM(K72:K73)</f>
        <v>165172980</v>
      </c>
    </row>
    <row r="75" spans="1:11" ht="15" customHeight="1">
      <c r="A75" s="23" t="s">
        <v>140</v>
      </c>
      <c r="B75" s="47"/>
      <c r="C75" s="51">
        <v>608453</v>
      </c>
      <c r="D75" s="51">
        <v>614462</v>
      </c>
      <c r="E75" s="51">
        <v>621700</v>
      </c>
      <c r="F75" s="51">
        <v>629237</v>
      </c>
      <c r="G75" s="51">
        <v>636369</v>
      </c>
      <c r="H75" s="51">
        <v>642173</v>
      </c>
    </row>
    <row r="77" spans="1:11" ht="15" customHeight="1">
      <c r="A77" s="23" t="s">
        <v>141</v>
      </c>
    </row>
    <row r="78" spans="1:11" ht="15" customHeight="1">
      <c r="A78" s="12" t="s">
        <v>23</v>
      </c>
      <c r="C78" s="53" t="s">
        <v>297</v>
      </c>
    </row>
    <row r="79" spans="1:11" ht="15" customHeight="1">
      <c r="A79" s="12" t="s">
        <v>15</v>
      </c>
      <c r="C79" s="53" t="s">
        <v>298</v>
      </c>
    </row>
    <row r="85" spans="1:8" ht="15" customHeight="1">
      <c r="A85" s="48" t="s">
        <v>4</v>
      </c>
      <c r="B85" s="48">
        <v>10</v>
      </c>
      <c r="C85" s="48"/>
      <c r="D85" s="48"/>
      <c r="E85" s="48"/>
      <c r="F85" s="48"/>
      <c r="G85" s="48"/>
      <c r="H85" s="48"/>
    </row>
    <row r="86" spans="1:8" ht="17.25" customHeight="1">
      <c r="A86" s="48" t="s">
        <v>12</v>
      </c>
      <c r="B86" s="49">
        <v>1</v>
      </c>
      <c r="C86" s="50">
        <f t="shared" ref="C86:H86" si="22">+C5</f>
        <v>2011</v>
      </c>
      <c r="D86" s="50">
        <f t="shared" si="22"/>
        <v>2012</v>
      </c>
      <c r="E86" s="50">
        <f t="shared" si="22"/>
        <v>2013</v>
      </c>
      <c r="F86" s="50">
        <f t="shared" si="22"/>
        <v>2014</v>
      </c>
      <c r="G86" s="50">
        <f t="shared" si="22"/>
        <v>2015</v>
      </c>
      <c r="H86" s="50">
        <f t="shared" si="22"/>
        <v>2016</v>
      </c>
    </row>
    <row r="87" spans="1:8" ht="15" customHeight="1">
      <c r="A87" s="48"/>
      <c r="B87" s="49" t="str">
        <f>INDEX(B10:B18,B86)</f>
        <v>Taxes</v>
      </c>
      <c r="C87" s="48">
        <f t="shared" ref="C87:G87" si="23">INDEX(C$10:C$18,$B$86)</f>
        <v>113176964</v>
      </c>
      <c r="D87" s="48">
        <f t="shared" si="23"/>
        <v>111637176</v>
      </c>
      <c r="E87" s="48">
        <f t="shared" si="23"/>
        <v>111501894</v>
      </c>
      <c r="F87" s="48">
        <f t="shared" si="23"/>
        <v>114062260</v>
      </c>
      <c r="G87" s="48">
        <f t="shared" si="23"/>
        <v>121181802</v>
      </c>
      <c r="H87" s="48">
        <f>INDEX(H$10:H$18,$B$86)</f>
        <v>125036674.05999999</v>
      </c>
    </row>
    <row r="88" spans="1:8" ht="15" customHeight="1">
      <c r="A88" s="48" t="s">
        <v>21</v>
      </c>
      <c r="B88" s="49">
        <v>1</v>
      </c>
      <c r="C88" s="48"/>
      <c r="D88" s="48"/>
      <c r="E88" s="48"/>
      <c r="F88" s="48"/>
      <c r="G88" s="48"/>
      <c r="H88" s="48"/>
    </row>
    <row r="89" spans="1:8" ht="15" customHeight="1">
      <c r="A89" s="48"/>
      <c r="B89" s="49" t="str">
        <f t="shared" ref="B89:H89" si="24">INDEX(B$21:B$31,$B$88)</f>
        <v>General Government</v>
      </c>
      <c r="C89" s="48">
        <f t="shared" si="24"/>
        <v>65777509</v>
      </c>
      <c r="D89" s="48">
        <f t="shared" si="24"/>
        <v>76722718</v>
      </c>
      <c r="E89" s="48">
        <f t="shared" si="24"/>
        <v>71253060</v>
      </c>
      <c r="F89" s="48">
        <f t="shared" si="24"/>
        <v>70822326</v>
      </c>
      <c r="G89" s="48">
        <f t="shared" si="24"/>
        <v>67990349</v>
      </c>
      <c r="H89" s="48">
        <f t="shared" si="24"/>
        <v>73940332.710000008</v>
      </c>
    </row>
  </sheetData>
  <printOptions horizontalCentered="1"/>
  <pageMargins left="0.2" right="0.2" top="0.5" bottom="0.5" header="0.3" footer="0.3"/>
  <pageSetup fitToHeight="5" orientation="landscape" r:id="rId1"/>
  <headerFooter alignWithMargins="0">
    <oddFooter>&amp;C&amp;"-,Regular"&amp;P</oddFooter>
  </headerFooter>
  <rowBreaks count="2" manualBreakCount="2">
    <brk id="33" max="8" man="1"/>
    <brk id="6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zoomScaleNormal="100" workbookViewId="0">
      <pane xSplit="2" ySplit="1" topLeftCell="C129" activePane="bottomRight" state="frozen"/>
      <selection activeCell="B69" sqref="B69"/>
      <selection pane="topRight" activeCell="B69" sqref="B69"/>
      <selection pane="bottomLeft" activeCell="B69" sqref="B69"/>
      <selection pane="bottomRight" activeCell="B69" sqref="B69"/>
    </sheetView>
  </sheetViews>
  <sheetFormatPr defaultColWidth="9" defaultRowHeight="14.4"/>
  <cols>
    <col min="1" max="1" width="9" customWidth="1"/>
    <col min="2" max="2" width="35.109375" style="65" bestFit="1" customWidth="1"/>
    <col min="3" max="3" width="25.33203125" style="65" customWidth="1"/>
    <col min="4" max="9" width="12.5546875" bestFit="1" customWidth="1"/>
    <col min="10" max="10" width="12.5546875" customWidth="1"/>
    <col min="11" max="11" width="12.33203125" bestFit="1" customWidth="1"/>
    <col min="13" max="13" width="12.5546875" bestFit="1" customWidth="1"/>
  </cols>
  <sheetData>
    <row r="1" spans="1:10" ht="16.2">
      <c r="A1" s="54" t="s">
        <v>160</v>
      </c>
      <c r="B1" s="55" t="s">
        <v>161</v>
      </c>
      <c r="C1" s="55" t="s">
        <v>162</v>
      </c>
      <c r="D1" s="56">
        <v>2010</v>
      </c>
      <c r="E1" s="56">
        <v>2011</v>
      </c>
      <c r="F1" s="56">
        <v>2012</v>
      </c>
      <c r="G1" s="56">
        <v>2013</v>
      </c>
      <c r="H1" s="56">
        <v>2014</v>
      </c>
      <c r="I1" s="56">
        <v>2015</v>
      </c>
      <c r="J1" s="56">
        <v>2016</v>
      </c>
    </row>
    <row r="2" spans="1:10">
      <c r="A2" s="57"/>
      <c r="B2" s="58" t="s">
        <v>163</v>
      </c>
      <c r="C2" s="58"/>
      <c r="D2" s="57"/>
      <c r="E2" s="57"/>
      <c r="F2" s="57"/>
      <c r="G2" s="57"/>
      <c r="H2" s="57"/>
      <c r="I2" s="57"/>
      <c r="J2" s="57"/>
    </row>
    <row r="3" spans="1:10">
      <c r="A3" s="57"/>
      <c r="B3" s="59" t="s">
        <v>34</v>
      </c>
      <c r="C3" s="59"/>
      <c r="D3" s="57"/>
      <c r="E3" s="57"/>
      <c r="F3" s="57"/>
      <c r="G3" s="57"/>
      <c r="H3" s="57"/>
      <c r="I3" s="57"/>
      <c r="J3" s="57"/>
    </row>
    <row r="4" spans="1:10">
      <c r="A4" s="57">
        <v>101</v>
      </c>
      <c r="B4" s="59" t="s">
        <v>164</v>
      </c>
      <c r="C4" s="60" t="s">
        <v>41</v>
      </c>
      <c r="D4" s="61">
        <f>83690994+26206041</f>
        <v>109897035</v>
      </c>
      <c r="E4" s="61">
        <f>84062508+22320000</f>
        <v>106382508</v>
      </c>
      <c r="F4" s="61">
        <f>82311295+21706046</f>
        <v>104017341</v>
      </c>
      <c r="G4" s="61">
        <f>82353145+21265429</f>
        <v>103618574</v>
      </c>
      <c r="H4" s="61">
        <f>83985296+21399788</f>
        <v>105385084</v>
      </c>
      <c r="I4" s="61">
        <f>87234462+23892566</f>
        <v>111127028</v>
      </c>
      <c r="J4" s="61">
        <f>87273361.54+27091048.43</f>
        <v>114364409.97</v>
      </c>
    </row>
    <row r="5" spans="1:10">
      <c r="A5" s="57">
        <v>102</v>
      </c>
      <c r="B5" s="59" t="s">
        <v>165</v>
      </c>
      <c r="C5" s="60" t="s">
        <v>41</v>
      </c>
      <c r="D5" s="61">
        <v>0</v>
      </c>
      <c r="E5" s="61">
        <v>0</v>
      </c>
      <c r="F5" s="61"/>
      <c r="G5" s="61"/>
      <c r="H5" s="61"/>
      <c r="I5" s="61"/>
      <c r="J5" s="61">
        <v>0</v>
      </c>
    </row>
    <row r="6" spans="1:10">
      <c r="A6" s="57">
        <v>103</v>
      </c>
      <c r="B6" s="59" t="s">
        <v>166</v>
      </c>
      <c r="C6" s="60" t="s">
        <v>41</v>
      </c>
      <c r="D6" s="61">
        <v>0</v>
      </c>
      <c r="E6" s="61">
        <v>0</v>
      </c>
      <c r="F6" s="61"/>
      <c r="G6" s="61"/>
      <c r="H6" s="61"/>
      <c r="I6" s="61"/>
      <c r="J6" s="61">
        <v>0</v>
      </c>
    </row>
    <row r="7" spans="1:10">
      <c r="A7" s="57">
        <v>104</v>
      </c>
      <c r="B7" s="59" t="s">
        <v>167</v>
      </c>
      <c r="C7" s="60" t="s">
        <v>41</v>
      </c>
      <c r="D7" s="61">
        <v>0</v>
      </c>
      <c r="E7" s="61">
        <v>0</v>
      </c>
      <c r="F7" s="61"/>
      <c r="G7" s="61"/>
      <c r="H7" s="61"/>
      <c r="I7" s="61"/>
      <c r="J7" s="61">
        <v>49643.1</v>
      </c>
    </row>
    <row r="8" spans="1:10">
      <c r="A8" s="57">
        <v>105</v>
      </c>
      <c r="B8" s="59" t="s">
        <v>168</v>
      </c>
      <c r="C8" s="60" t="s">
        <v>41</v>
      </c>
      <c r="D8" s="61">
        <v>4923974</v>
      </c>
      <c r="E8" s="61">
        <v>5803776</v>
      </c>
      <c r="F8" s="61">
        <v>6597840</v>
      </c>
      <c r="G8" s="61">
        <v>6897106</v>
      </c>
      <c r="H8" s="61">
        <v>7660224</v>
      </c>
      <c r="I8" s="61">
        <v>8786045</v>
      </c>
      <c r="J8" s="61">
        <v>9494361.1300000008</v>
      </c>
    </row>
    <row r="9" spans="1:10">
      <c r="A9" s="57">
        <v>106</v>
      </c>
      <c r="B9" s="59" t="s">
        <v>169</v>
      </c>
      <c r="C9" s="60" t="s">
        <v>41</v>
      </c>
      <c r="D9" s="61">
        <f>640317+309877</f>
        <v>950194</v>
      </c>
      <c r="E9" s="61">
        <f>770686+219994</f>
        <v>990680</v>
      </c>
      <c r="F9" s="61">
        <f>824674+197321</f>
        <v>1021995</v>
      </c>
      <c r="G9" s="61">
        <f>798999+187215</f>
        <v>986214</v>
      </c>
      <c r="H9" s="61">
        <f>815900+201052</f>
        <v>1016952</v>
      </c>
      <c r="I9" s="61">
        <f>990300+278429</f>
        <v>1268729</v>
      </c>
      <c r="J9" s="61">
        <v>1128259.8600000001</v>
      </c>
    </row>
    <row r="10" spans="1:10">
      <c r="A10" s="57">
        <v>107</v>
      </c>
      <c r="B10" s="59" t="s">
        <v>170</v>
      </c>
      <c r="C10" s="60" t="s">
        <v>41</v>
      </c>
      <c r="D10" s="61">
        <v>0</v>
      </c>
      <c r="E10" s="61">
        <v>0</v>
      </c>
      <c r="F10" s="61"/>
      <c r="G10" s="61"/>
      <c r="H10" s="61"/>
      <c r="I10" s="61"/>
      <c r="J10" s="61">
        <v>0</v>
      </c>
    </row>
    <row r="11" spans="1:10">
      <c r="A11" s="57">
        <v>108</v>
      </c>
      <c r="B11" s="59" t="s">
        <v>171</v>
      </c>
      <c r="C11" s="60" t="s">
        <v>44</v>
      </c>
      <c r="D11" s="61">
        <f>430+1054154</f>
        <v>1054584</v>
      </c>
      <c r="E11" s="61">
        <f>340+958538</f>
        <v>958878</v>
      </c>
      <c r="F11" s="61">
        <f>492+1089755</f>
        <v>1090247</v>
      </c>
      <c r="G11" s="61">
        <v>1093011</v>
      </c>
      <c r="H11" s="61">
        <v>1131311</v>
      </c>
      <c r="I11" s="61">
        <v>1319163</v>
      </c>
      <c r="J11" s="61">
        <v>8306</v>
      </c>
    </row>
    <row r="12" spans="1:10">
      <c r="A12" s="57">
        <v>109</v>
      </c>
      <c r="B12" s="59" t="s">
        <v>172</v>
      </c>
      <c r="C12" s="60" t="s">
        <v>44</v>
      </c>
      <c r="D12" s="61">
        <f>101702+570268</f>
        <v>671970</v>
      </c>
      <c r="E12" s="61">
        <f>301745+551397</f>
        <v>853142</v>
      </c>
      <c r="F12" s="61">
        <f>162925+680089</f>
        <v>843014</v>
      </c>
      <c r="G12" s="61">
        <f>240927+714497</f>
        <v>955424</v>
      </c>
      <c r="H12" s="61">
        <f>805031+199946</f>
        <v>1004977</v>
      </c>
      <c r="I12" s="61">
        <f>131091+1042270</f>
        <v>1173361</v>
      </c>
      <c r="J12" s="61">
        <v>842926.9</v>
      </c>
    </row>
    <row r="13" spans="1:10" ht="28.8">
      <c r="A13" s="57">
        <v>110</v>
      </c>
      <c r="B13" s="59" t="s">
        <v>173</v>
      </c>
      <c r="C13" s="60" t="s">
        <v>49</v>
      </c>
      <c r="D13" s="61">
        <v>1921945</v>
      </c>
      <c r="E13" s="61">
        <v>1154800</v>
      </c>
      <c r="F13" s="61">
        <v>719811</v>
      </c>
      <c r="G13" s="61">
        <v>856922</v>
      </c>
      <c r="H13" s="61">
        <v>68423</v>
      </c>
      <c r="I13" s="61">
        <v>0</v>
      </c>
      <c r="J13" s="61">
        <v>0</v>
      </c>
    </row>
    <row r="14" spans="1:10">
      <c r="A14" s="57">
        <v>111</v>
      </c>
      <c r="B14" s="59" t="s">
        <v>174</v>
      </c>
      <c r="C14" s="60" t="s">
        <v>49</v>
      </c>
      <c r="D14" s="61">
        <v>988900</v>
      </c>
      <c r="E14" s="61">
        <v>1153147</v>
      </c>
      <c r="F14" s="61">
        <v>515499</v>
      </c>
      <c r="G14" s="61">
        <v>599767</v>
      </c>
      <c r="H14" s="61">
        <v>732517</v>
      </c>
      <c r="I14" s="61">
        <v>515047</v>
      </c>
      <c r="J14" s="61">
        <v>1149739.1000000001</v>
      </c>
    </row>
    <row r="15" spans="1:10">
      <c r="A15" s="57">
        <v>112</v>
      </c>
      <c r="B15" s="59" t="s">
        <v>175</v>
      </c>
      <c r="C15" s="60" t="s">
        <v>49</v>
      </c>
      <c r="D15" s="61">
        <v>27476</v>
      </c>
      <c r="E15" s="61">
        <v>10590</v>
      </c>
      <c r="F15" s="61">
        <v>0</v>
      </c>
      <c r="G15" s="61"/>
      <c r="H15" s="61"/>
      <c r="I15" s="61"/>
      <c r="J15" s="61">
        <v>0</v>
      </c>
    </row>
    <row r="16" spans="1:10">
      <c r="A16" s="57">
        <v>113</v>
      </c>
      <c r="B16" s="59" t="s">
        <v>176</v>
      </c>
      <c r="C16" s="60" t="s">
        <v>49</v>
      </c>
      <c r="D16" s="61">
        <v>0</v>
      </c>
      <c r="E16" s="61">
        <v>0</v>
      </c>
      <c r="F16" s="61">
        <v>0</v>
      </c>
      <c r="G16" s="61"/>
      <c r="H16" s="61"/>
      <c r="I16" s="61"/>
      <c r="J16" s="61">
        <v>0</v>
      </c>
    </row>
    <row r="17" spans="1:10" ht="28.8">
      <c r="A17" s="57">
        <v>114</v>
      </c>
      <c r="B17" s="59" t="s">
        <v>177</v>
      </c>
      <c r="C17" s="60" t="s">
        <v>49</v>
      </c>
      <c r="D17" s="61">
        <v>0</v>
      </c>
      <c r="E17" s="61">
        <v>0</v>
      </c>
      <c r="F17" s="61">
        <v>1098598</v>
      </c>
      <c r="G17" s="61">
        <v>1141669</v>
      </c>
      <c r="H17" s="61">
        <v>933077</v>
      </c>
      <c r="I17" s="61">
        <v>11329830</v>
      </c>
      <c r="J17" s="61">
        <v>10415353.58</v>
      </c>
    </row>
    <row r="18" spans="1:10">
      <c r="A18" s="57">
        <v>115</v>
      </c>
      <c r="B18" s="59" t="s">
        <v>178</v>
      </c>
      <c r="C18" s="60" t="s">
        <v>49</v>
      </c>
      <c r="D18" s="61">
        <v>5951968</v>
      </c>
      <c r="E18" s="61">
        <v>5897591</v>
      </c>
      <c r="F18" s="61">
        <v>95722</v>
      </c>
      <c r="G18" s="61">
        <v>124630</v>
      </c>
      <c r="H18" s="61">
        <v>113291</v>
      </c>
      <c r="I18" s="61">
        <v>0</v>
      </c>
      <c r="J18" s="61">
        <v>2796120.93</v>
      </c>
    </row>
    <row r="19" spans="1:10" ht="28.8">
      <c r="A19" s="57">
        <v>116</v>
      </c>
      <c r="B19" s="59" t="s">
        <v>179</v>
      </c>
      <c r="C19" s="60" t="s">
        <v>49</v>
      </c>
      <c r="D19" s="61">
        <v>0</v>
      </c>
      <c r="E19" s="61">
        <v>0</v>
      </c>
      <c r="F19" s="61">
        <v>0</v>
      </c>
      <c r="G19" s="61"/>
      <c r="H19" s="61"/>
      <c r="I19" s="61"/>
      <c r="J19" s="61">
        <v>0</v>
      </c>
    </row>
    <row r="20" spans="1:10" ht="28.8">
      <c r="A20" s="57">
        <v>117</v>
      </c>
      <c r="B20" s="59" t="s">
        <v>180</v>
      </c>
      <c r="C20" s="60" t="s">
        <v>49</v>
      </c>
      <c r="D20" s="61">
        <v>5177887</v>
      </c>
      <c r="E20" s="61">
        <v>5850770</v>
      </c>
      <c r="F20" s="61">
        <v>3569236</v>
      </c>
      <c r="G20" s="61">
        <v>3225363</v>
      </c>
      <c r="H20" s="61">
        <v>3678813</v>
      </c>
      <c r="I20" s="61">
        <v>4791997</v>
      </c>
      <c r="J20" s="61">
        <v>1422003</v>
      </c>
    </row>
    <row r="21" spans="1:10">
      <c r="A21" s="57">
        <v>118</v>
      </c>
      <c r="B21" s="59" t="s">
        <v>181</v>
      </c>
      <c r="C21" s="60" t="s">
        <v>49</v>
      </c>
      <c r="D21" s="61">
        <v>0</v>
      </c>
      <c r="E21" s="61">
        <v>0</v>
      </c>
      <c r="F21" s="61">
        <v>0</v>
      </c>
      <c r="G21" s="61"/>
      <c r="H21" s="61"/>
      <c r="I21" s="61"/>
      <c r="J21" s="61">
        <v>0</v>
      </c>
    </row>
    <row r="22" spans="1:10">
      <c r="A22" s="57">
        <v>119</v>
      </c>
      <c r="B22" s="59" t="s">
        <v>182</v>
      </c>
      <c r="C22" s="60" t="s">
        <v>49</v>
      </c>
      <c r="D22" s="61">
        <v>0</v>
      </c>
      <c r="E22" s="61">
        <v>0</v>
      </c>
      <c r="F22" s="61">
        <v>0</v>
      </c>
      <c r="G22" s="61"/>
      <c r="H22" s="61"/>
      <c r="I22" s="61"/>
      <c r="J22" s="61">
        <v>0</v>
      </c>
    </row>
    <row r="23" spans="1:10">
      <c r="A23" s="57">
        <v>120</v>
      </c>
      <c r="B23" s="59" t="s">
        <v>183</v>
      </c>
      <c r="C23" s="60" t="s">
        <v>49</v>
      </c>
      <c r="D23" s="61">
        <v>0</v>
      </c>
      <c r="E23" s="61">
        <v>0</v>
      </c>
      <c r="F23" s="61">
        <v>0</v>
      </c>
      <c r="G23" s="61"/>
      <c r="H23" s="61"/>
      <c r="I23" s="61"/>
      <c r="J23" s="61">
        <v>0</v>
      </c>
    </row>
    <row r="24" spans="1:10">
      <c r="A24" s="57">
        <v>121</v>
      </c>
      <c r="B24" s="59" t="s">
        <v>184</v>
      </c>
      <c r="C24" s="60" t="s">
        <v>49</v>
      </c>
      <c r="D24" s="61">
        <v>1357192</v>
      </c>
      <c r="E24" s="61">
        <v>1448996</v>
      </c>
      <c r="F24" s="61">
        <v>2269546</v>
      </c>
      <c r="G24" s="61">
        <v>2040457</v>
      </c>
      <c r="H24" s="61">
        <v>2004700</v>
      </c>
      <c r="I24" s="61">
        <v>2242848</v>
      </c>
      <c r="J24" s="61">
        <v>0</v>
      </c>
    </row>
    <row r="25" spans="1:10">
      <c r="A25" s="57">
        <v>122</v>
      </c>
      <c r="B25" s="59" t="s">
        <v>185</v>
      </c>
      <c r="C25" s="60" t="s">
        <v>48</v>
      </c>
      <c r="D25" s="61">
        <v>0</v>
      </c>
      <c r="E25" s="61">
        <v>10225945</v>
      </c>
      <c r="F25" s="61">
        <v>9214573</v>
      </c>
      <c r="G25" s="61">
        <v>9329896</v>
      </c>
      <c r="H25" s="61">
        <v>10384212</v>
      </c>
      <c r="I25" s="61">
        <v>12027403</v>
      </c>
      <c r="J25" s="61">
        <v>12083871.41</v>
      </c>
    </row>
    <row r="26" spans="1:10">
      <c r="A26" s="57">
        <v>123</v>
      </c>
      <c r="B26" s="59" t="s">
        <v>186</v>
      </c>
      <c r="C26" s="60" t="s">
        <v>48</v>
      </c>
      <c r="D26" s="61">
        <v>6717923</v>
      </c>
      <c r="E26" s="61">
        <v>3279902</v>
      </c>
      <c r="F26" s="61">
        <v>3231279</v>
      </c>
      <c r="G26" s="61">
        <v>3223759</v>
      </c>
      <c r="H26" s="61">
        <v>3163007</v>
      </c>
      <c r="I26" s="61">
        <v>3222513</v>
      </c>
      <c r="J26" s="61">
        <v>12335656.66</v>
      </c>
    </row>
    <row r="27" spans="1:10">
      <c r="A27" s="57">
        <v>124</v>
      </c>
      <c r="B27" s="59" t="s">
        <v>187</v>
      </c>
      <c r="C27" s="60" t="s">
        <v>48</v>
      </c>
      <c r="D27" s="61">
        <v>168272</v>
      </c>
      <c r="E27" s="61">
        <v>9570</v>
      </c>
      <c r="F27" s="61">
        <v>1198</v>
      </c>
      <c r="G27" s="61">
        <v>261</v>
      </c>
      <c r="H27" s="61">
        <v>74</v>
      </c>
      <c r="I27" s="61">
        <v>760</v>
      </c>
      <c r="J27" s="61">
        <v>217847.1</v>
      </c>
    </row>
    <row r="28" spans="1:10">
      <c r="A28" s="57">
        <v>125</v>
      </c>
      <c r="B28" s="59" t="s">
        <v>188</v>
      </c>
      <c r="C28" s="60" t="s">
        <v>48</v>
      </c>
      <c r="D28" s="61">
        <v>0</v>
      </c>
      <c r="E28" s="61">
        <v>0</v>
      </c>
      <c r="F28" s="61">
        <v>0</v>
      </c>
      <c r="G28" s="61"/>
      <c r="H28" s="61"/>
      <c r="I28" s="61"/>
      <c r="J28" s="61">
        <v>0</v>
      </c>
    </row>
    <row r="29" spans="1:10">
      <c r="A29" s="57">
        <v>126</v>
      </c>
      <c r="B29" s="59" t="s">
        <v>189</v>
      </c>
      <c r="C29" s="60" t="s">
        <v>48</v>
      </c>
      <c r="D29" s="61">
        <v>758986</v>
      </c>
      <c r="E29" s="61">
        <v>686827</v>
      </c>
      <c r="F29" s="61">
        <v>597150</v>
      </c>
      <c r="G29" s="61">
        <v>762209</v>
      </c>
      <c r="H29" s="61">
        <v>601626</v>
      </c>
      <c r="I29" s="61">
        <v>720274</v>
      </c>
      <c r="J29" s="61">
        <v>539030.06000000006</v>
      </c>
    </row>
    <row r="30" spans="1:10">
      <c r="A30" s="57">
        <v>127</v>
      </c>
      <c r="B30" s="59" t="s">
        <v>190</v>
      </c>
      <c r="C30" s="60" t="s">
        <v>48</v>
      </c>
      <c r="D30" s="61">
        <v>0</v>
      </c>
      <c r="E30" s="61">
        <v>0</v>
      </c>
      <c r="F30" s="61">
        <v>0</v>
      </c>
      <c r="G30" s="61"/>
      <c r="H30" s="61"/>
      <c r="I30" s="61"/>
      <c r="J30" s="61">
        <v>0</v>
      </c>
    </row>
    <row r="31" spans="1:10">
      <c r="A31" s="57">
        <v>128</v>
      </c>
      <c r="B31" s="59" t="s">
        <v>191</v>
      </c>
      <c r="C31" s="60" t="s">
        <v>48</v>
      </c>
      <c r="D31" s="61">
        <v>0</v>
      </c>
      <c r="E31" s="61">
        <v>0</v>
      </c>
      <c r="F31" s="61">
        <v>0</v>
      </c>
      <c r="G31" s="61"/>
      <c r="H31" s="61"/>
      <c r="I31" s="61"/>
      <c r="J31" s="61">
        <v>0</v>
      </c>
    </row>
    <row r="32" spans="1:10">
      <c r="A32" s="57">
        <v>129</v>
      </c>
      <c r="B32" s="59" t="s">
        <v>192</v>
      </c>
      <c r="C32" s="60" t="s">
        <v>48</v>
      </c>
      <c r="D32" s="61">
        <v>0</v>
      </c>
      <c r="E32" s="61">
        <v>0</v>
      </c>
      <c r="F32" s="61">
        <v>0</v>
      </c>
      <c r="G32" s="61"/>
      <c r="H32" s="61"/>
      <c r="I32" s="61"/>
      <c r="J32" s="61">
        <v>0</v>
      </c>
    </row>
    <row r="33" spans="1:10">
      <c r="A33" s="57">
        <v>130</v>
      </c>
      <c r="B33" s="59" t="s">
        <v>193</v>
      </c>
      <c r="C33" s="60" t="s">
        <v>48</v>
      </c>
      <c r="D33" s="61">
        <v>16477827</v>
      </c>
      <c r="E33" s="61">
        <v>14560981</v>
      </c>
      <c r="F33" s="61">
        <v>8290729</v>
      </c>
      <c r="G33" s="61">
        <v>8198046</v>
      </c>
      <c r="H33" s="61">
        <v>8281186</v>
      </c>
      <c r="I33" s="61">
        <v>2940703</v>
      </c>
      <c r="J33" s="61">
        <v>2360871.1</v>
      </c>
    </row>
    <row r="34" spans="1:10">
      <c r="A34" s="57">
        <v>131</v>
      </c>
      <c r="B34" s="59" t="s">
        <v>194</v>
      </c>
      <c r="C34" s="60" t="s">
        <v>48</v>
      </c>
      <c r="D34" s="61">
        <v>15713598</v>
      </c>
      <c r="E34" s="61">
        <v>19905729</v>
      </c>
      <c r="F34" s="61">
        <v>26495201</v>
      </c>
      <c r="G34" s="61">
        <v>19548265</v>
      </c>
      <c r="H34" s="61">
        <v>20715462</v>
      </c>
      <c r="I34" s="61">
        <f>3764527+15863250</f>
        <v>19627777</v>
      </c>
      <c r="J34" s="61">
        <v>18724514.739999998</v>
      </c>
    </row>
    <row r="35" spans="1:10">
      <c r="A35" s="57">
        <v>132</v>
      </c>
      <c r="B35" s="59" t="s">
        <v>195</v>
      </c>
      <c r="C35" s="60" t="s">
        <v>48</v>
      </c>
      <c r="D35" s="61">
        <v>11200</v>
      </c>
      <c r="E35" s="61">
        <v>15000</v>
      </c>
      <c r="F35" s="61">
        <v>11600</v>
      </c>
      <c r="G35" s="61">
        <v>25500</v>
      </c>
      <c r="H35" s="61"/>
      <c r="I35" s="61"/>
      <c r="J35" s="61">
        <v>268900</v>
      </c>
    </row>
    <row r="36" spans="1:10" ht="28.8">
      <c r="A36" s="57">
        <v>133</v>
      </c>
      <c r="B36" s="59" t="s">
        <v>196</v>
      </c>
      <c r="C36" s="60" t="s">
        <v>48</v>
      </c>
      <c r="D36" s="61">
        <v>0</v>
      </c>
      <c r="E36" s="61">
        <v>0</v>
      </c>
      <c r="F36" s="61">
        <v>0</v>
      </c>
      <c r="G36" s="61"/>
      <c r="H36" s="61"/>
      <c r="I36" s="61"/>
      <c r="J36" s="61">
        <v>0</v>
      </c>
    </row>
    <row r="37" spans="1:10">
      <c r="A37" s="57">
        <v>134</v>
      </c>
      <c r="B37" s="59" t="s">
        <v>197</v>
      </c>
      <c r="C37" s="60" t="s">
        <v>48</v>
      </c>
      <c r="D37" s="61">
        <v>0</v>
      </c>
      <c r="E37" s="61">
        <v>0</v>
      </c>
      <c r="F37" s="61">
        <v>0</v>
      </c>
      <c r="G37" s="61"/>
      <c r="H37" s="61"/>
      <c r="I37" s="61"/>
      <c r="J37" s="61">
        <v>0</v>
      </c>
    </row>
    <row r="38" spans="1:10">
      <c r="A38" s="57">
        <v>135</v>
      </c>
      <c r="B38" s="59" t="s">
        <v>198</v>
      </c>
      <c r="C38" s="60" t="s">
        <v>48</v>
      </c>
      <c r="D38" s="61">
        <v>0</v>
      </c>
      <c r="E38" s="61">
        <v>0</v>
      </c>
      <c r="F38" s="61">
        <v>0</v>
      </c>
      <c r="G38" s="61"/>
      <c r="H38" s="61"/>
      <c r="I38" s="61"/>
      <c r="J38" s="61">
        <v>0</v>
      </c>
    </row>
    <row r="39" spans="1:10">
      <c r="A39" s="57">
        <v>136</v>
      </c>
      <c r="B39" s="59" t="s">
        <v>199</v>
      </c>
      <c r="C39" s="60" t="s">
        <v>48</v>
      </c>
      <c r="D39" s="61">
        <v>0</v>
      </c>
      <c r="E39" s="61">
        <v>0</v>
      </c>
      <c r="F39" s="61">
        <v>0</v>
      </c>
      <c r="G39" s="61"/>
      <c r="H39" s="61"/>
      <c r="I39" s="61"/>
      <c r="J39" s="61">
        <v>0</v>
      </c>
    </row>
    <row r="40" spans="1:10">
      <c r="A40" s="57">
        <v>137</v>
      </c>
      <c r="B40" s="59" t="s">
        <v>200</v>
      </c>
      <c r="C40" s="60" t="s">
        <v>48</v>
      </c>
      <c r="D40" s="61">
        <v>2455276</v>
      </c>
      <c r="E40" s="61">
        <v>2551564</v>
      </c>
      <c r="F40" s="61">
        <v>2488954</v>
      </c>
      <c r="G40" s="61">
        <v>8397167</v>
      </c>
      <c r="H40" s="61">
        <v>8309847</v>
      </c>
      <c r="I40" s="61">
        <f>1273641+9227779</f>
        <v>10501420</v>
      </c>
      <c r="J40" s="61">
        <v>1910018.69</v>
      </c>
    </row>
    <row r="41" spans="1:10">
      <c r="A41" s="57">
        <v>138</v>
      </c>
      <c r="B41" s="59" t="s">
        <v>201</v>
      </c>
      <c r="C41" s="60" t="s">
        <v>45</v>
      </c>
      <c r="D41" s="61">
        <v>349010</v>
      </c>
      <c r="E41" s="61">
        <v>533453</v>
      </c>
      <c r="F41" s="61">
        <v>13957</v>
      </c>
      <c r="G41" s="61">
        <v>286945</v>
      </c>
      <c r="H41" s="61">
        <v>3265</v>
      </c>
      <c r="I41" s="61"/>
      <c r="J41" s="61">
        <v>0</v>
      </c>
    </row>
    <row r="42" spans="1:10">
      <c r="A42" s="57">
        <v>139</v>
      </c>
      <c r="B42" s="59" t="s">
        <v>202</v>
      </c>
      <c r="C42" s="60" t="s">
        <v>45</v>
      </c>
      <c r="D42" s="61">
        <v>635067</v>
      </c>
      <c r="E42" s="61">
        <v>1556557</v>
      </c>
      <c r="F42" s="61">
        <v>1199829</v>
      </c>
      <c r="G42" s="61">
        <v>1252673</v>
      </c>
      <c r="H42" s="61">
        <v>1396078</v>
      </c>
      <c r="I42" s="61">
        <v>1369922</v>
      </c>
      <c r="J42" s="61">
        <v>0</v>
      </c>
    </row>
    <row r="43" spans="1:10">
      <c r="A43" s="57">
        <v>140</v>
      </c>
      <c r="B43" s="59" t="s">
        <v>203</v>
      </c>
      <c r="C43" s="60" t="s">
        <v>45</v>
      </c>
      <c r="D43" s="61">
        <v>0</v>
      </c>
      <c r="E43" s="61">
        <v>0</v>
      </c>
      <c r="F43" s="61">
        <v>0</v>
      </c>
      <c r="G43" s="61"/>
      <c r="H43" s="61"/>
      <c r="I43" s="61"/>
      <c r="J43" s="61">
        <v>0</v>
      </c>
    </row>
    <row r="44" spans="1:10">
      <c r="A44" s="57">
        <v>141</v>
      </c>
      <c r="B44" s="59" t="s">
        <v>204</v>
      </c>
      <c r="C44" s="60" t="s">
        <v>45</v>
      </c>
      <c r="D44" s="61">
        <v>0</v>
      </c>
      <c r="E44" s="61">
        <v>0</v>
      </c>
      <c r="F44" s="61">
        <v>0</v>
      </c>
      <c r="G44" s="61"/>
      <c r="H44" s="61"/>
      <c r="I44" s="61"/>
      <c r="J44" s="61">
        <v>0</v>
      </c>
    </row>
    <row r="45" spans="1:10">
      <c r="A45" s="57">
        <v>142</v>
      </c>
      <c r="B45" s="59" t="s">
        <v>205</v>
      </c>
      <c r="C45" s="60" t="s">
        <v>45</v>
      </c>
      <c r="D45" s="61">
        <v>0</v>
      </c>
      <c r="E45" s="61">
        <v>0</v>
      </c>
      <c r="F45" s="61">
        <v>10077</v>
      </c>
      <c r="G45" s="61">
        <v>50123</v>
      </c>
      <c r="H45" s="61">
        <v>79570</v>
      </c>
      <c r="I45" s="61"/>
      <c r="J45" s="61">
        <v>0</v>
      </c>
    </row>
    <row r="46" spans="1:10">
      <c r="A46" s="57">
        <v>143</v>
      </c>
      <c r="B46" s="59" t="s">
        <v>206</v>
      </c>
      <c r="C46" s="60" t="s">
        <v>45</v>
      </c>
      <c r="D46" s="61">
        <v>35000</v>
      </c>
      <c r="E46" s="61">
        <v>30000</v>
      </c>
      <c r="F46" s="61">
        <v>0</v>
      </c>
      <c r="G46" s="61"/>
      <c r="H46" s="61"/>
      <c r="I46" s="61"/>
      <c r="J46" s="61">
        <v>0</v>
      </c>
    </row>
    <row r="47" spans="1:10">
      <c r="A47" s="57">
        <v>144</v>
      </c>
      <c r="B47" s="59" t="s">
        <v>207</v>
      </c>
      <c r="C47" s="60" t="s">
        <v>45</v>
      </c>
      <c r="D47" s="61">
        <v>38076</v>
      </c>
      <c r="E47" s="61">
        <v>10000</v>
      </c>
      <c r="F47" s="61">
        <v>10000</v>
      </c>
      <c r="G47" s="61">
        <v>72500</v>
      </c>
      <c r="H47" s="61">
        <v>295058</v>
      </c>
      <c r="I47" s="61">
        <v>258811</v>
      </c>
      <c r="J47" s="61">
        <v>0</v>
      </c>
    </row>
    <row r="48" spans="1:10" ht="28.8">
      <c r="A48" s="57">
        <v>145</v>
      </c>
      <c r="B48" s="59" t="s">
        <v>208</v>
      </c>
      <c r="C48" s="60" t="s">
        <v>45</v>
      </c>
      <c r="D48" s="61">
        <v>0</v>
      </c>
      <c r="E48" s="61">
        <v>0</v>
      </c>
      <c r="F48" s="61">
        <v>2000</v>
      </c>
      <c r="G48" s="61">
        <v>2500</v>
      </c>
      <c r="H48" s="61">
        <v>3200</v>
      </c>
      <c r="I48" s="61">
        <v>3200</v>
      </c>
      <c r="J48" s="61">
        <v>0</v>
      </c>
    </row>
    <row r="49" spans="1:10">
      <c r="A49" s="57">
        <v>146</v>
      </c>
      <c r="B49" s="59" t="s">
        <v>209</v>
      </c>
      <c r="C49" s="60" t="s">
        <v>45</v>
      </c>
      <c r="D49" s="61">
        <v>0</v>
      </c>
      <c r="E49" s="61">
        <v>0</v>
      </c>
      <c r="F49" s="61">
        <v>0</v>
      </c>
      <c r="G49" s="61"/>
      <c r="H49" s="61"/>
      <c r="I49" s="61"/>
      <c r="J49" s="61">
        <v>0</v>
      </c>
    </row>
    <row r="50" spans="1:10">
      <c r="A50" s="57">
        <v>147</v>
      </c>
      <c r="B50" s="59" t="s">
        <v>210</v>
      </c>
      <c r="C50" s="60" t="s">
        <v>45</v>
      </c>
      <c r="D50" s="61">
        <v>0</v>
      </c>
      <c r="E50" s="61">
        <v>0</v>
      </c>
      <c r="F50" s="61">
        <v>0</v>
      </c>
      <c r="G50" s="61"/>
      <c r="H50" s="61"/>
      <c r="I50" s="61"/>
      <c r="J50" s="61">
        <v>0</v>
      </c>
    </row>
    <row r="51" spans="1:10">
      <c r="A51" s="57">
        <v>148</v>
      </c>
      <c r="B51" s="59" t="s">
        <v>211</v>
      </c>
      <c r="C51" s="60" t="s">
        <v>45</v>
      </c>
      <c r="D51" s="61">
        <v>121479</v>
      </c>
      <c r="E51" s="61">
        <v>21996</v>
      </c>
      <c r="F51" s="61">
        <v>0</v>
      </c>
      <c r="G51" s="61"/>
      <c r="H51" s="61"/>
      <c r="I51" s="61"/>
      <c r="J51" s="61">
        <v>0</v>
      </c>
    </row>
    <row r="52" spans="1:10">
      <c r="A52" s="57">
        <v>149</v>
      </c>
      <c r="B52" s="59" t="s">
        <v>212</v>
      </c>
      <c r="C52" s="60" t="s">
        <v>46</v>
      </c>
      <c r="D52" s="61">
        <v>3556445</v>
      </c>
      <c r="E52" s="61">
        <v>3284488</v>
      </c>
      <c r="F52" s="61">
        <v>3809491</v>
      </c>
      <c r="G52" s="61">
        <v>3960601</v>
      </c>
      <c r="H52" s="61">
        <v>3620209</v>
      </c>
      <c r="I52" s="61">
        <v>3785270</v>
      </c>
      <c r="J52" s="61">
        <v>0</v>
      </c>
    </row>
    <row r="53" spans="1:10">
      <c r="A53" s="57">
        <v>150</v>
      </c>
      <c r="B53" s="59" t="s">
        <v>213</v>
      </c>
      <c r="C53" s="60" t="s">
        <v>46</v>
      </c>
      <c r="D53" s="61">
        <v>1321714</v>
      </c>
      <c r="E53" s="61">
        <v>1357050</v>
      </c>
      <c r="F53" s="61">
        <v>781729</v>
      </c>
      <c r="G53" s="61">
        <v>799840</v>
      </c>
      <c r="H53" s="61">
        <v>952732</v>
      </c>
      <c r="I53" s="61">
        <v>917322</v>
      </c>
      <c r="J53" s="61">
        <v>0</v>
      </c>
    </row>
    <row r="54" spans="1:10">
      <c r="A54" s="57">
        <v>151</v>
      </c>
      <c r="B54" s="59" t="s">
        <v>214</v>
      </c>
      <c r="C54" s="60" t="s">
        <v>46</v>
      </c>
      <c r="D54" s="61">
        <v>1245070</v>
      </c>
      <c r="E54" s="61">
        <v>1228902</v>
      </c>
      <c r="F54" s="61">
        <v>1273678</v>
      </c>
      <c r="G54" s="61">
        <v>1284251</v>
      </c>
      <c r="H54" s="61">
        <v>1314790</v>
      </c>
      <c r="I54" s="61">
        <v>1487762</v>
      </c>
      <c r="J54" s="61">
        <v>1655939.62</v>
      </c>
    </row>
    <row r="55" spans="1:10">
      <c r="A55" s="57">
        <v>152</v>
      </c>
      <c r="B55" s="59" t="s">
        <v>215</v>
      </c>
      <c r="C55" s="60" t="s">
        <v>46</v>
      </c>
      <c r="D55" s="61">
        <v>1275</v>
      </c>
      <c r="E55" s="61">
        <v>320</v>
      </c>
      <c r="F55" s="61">
        <v>1835</v>
      </c>
      <c r="G55" s="61">
        <v>220</v>
      </c>
      <c r="H55" s="61">
        <v>1930</v>
      </c>
      <c r="I55" s="61">
        <v>5805</v>
      </c>
      <c r="J55" s="61">
        <v>148221.03</v>
      </c>
    </row>
    <row r="56" spans="1:10">
      <c r="A56" s="57">
        <v>153</v>
      </c>
      <c r="B56" s="59" t="s">
        <v>216</v>
      </c>
      <c r="C56" s="60" t="s">
        <v>46</v>
      </c>
      <c r="D56" s="61">
        <v>3888328</v>
      </c>
      <c r="E56" s="61">
        <v>3863520</v>
      </c>
      <c r="F56" s="61">
        <v>4249278</v>
      </c>
      <c r="G56" s="61">
        <v>5031302</v>
      </c>
      <c r="H56" s="61">
        <v>4757088</v>
      </c>
      <c r="I56" s="61">
        <v>10526308</v>
      </c>
      <c r="J56" s="61">
        <v>6438062.7800000003</v>
      </c>
    </row>
    <row r="57" spans="1:10">
      <c r="A57" s="57">
        <v>154</v>
      </c>
      <c r="B57" s="59" t="s">
        <v>217</v>
      </c>
      <c r="C57" s="60" t="s">
        <v>46</v>
      </c>
      <c r="D57" s="61">
        <v>5405683</v>
      </c>
      <c r="E57" s="61">
        <v>5619613</v>
      </c>
      <c r="F57" s="61">
        <v>4969378</v>
      </c>
      <c r="G57" s="61">
        <v>5017149</v>
      </c>
      <c r="H57" s="61">
        <v>4807928</v>
      </c>
      <c r="I57" s="61">
        <v>4395387</v>
      </c>
      <c r="J57" s="61">
        <v>7608944.4699999997</v>
      </c>
    </row>
    <row r="58" spans="1:10">
      <c r="A58" s="57">
        <v>155</v>
      </c>
      <c r="B58" s="59" t="s">
        <v>218</v>
      </c>
      <c r="C58" s="60" t="s">
        <v>46</v>
      </c>
      <c r="D58" s="61">
        <v>0</v>
      </c>
      <c r="E58" s="61">
        <v>0</v>
      </c>
      <c r="F58" s="61">
        <v>0</v>
      </c>
      <c r="G58" s="61"/>
      <c r="H58" s="61"/>
      <c r="I58" s="61"/>
      <c r="J58" s="61">
        <v>0</v>
      </c>
    </row>
    <row r="59" spans="1:10">
      <c r="A59" s="57">
        <v>156</v>
      </c>
      <c r="B59" s="59" t="s">
        <v>219</v>
      </c>
      <c r="C59" s="60" t="s">
        <v>46</v>
      </c>
      <c r="D59" s="61">
        <v>3344448</v>
      </c>
      <c r="E59" s="61">
        <v>4097304</v>
      </c>
      <c r="F59" s="61">
        <v>3735902</v>
      </c>
      <c r="G59" s="61">
        <v>3718650</v>
      </c>
      <c r="H59" s="61">
        <v>3663618</v>
      </c>
      <c r="I59" s="61">
        <v>4034159</v>
      </c>
      <c r="J59" s="61">
        <v>16057579.17</v>
      </c>
    </row>
    <row r="60" spans="1:10">
      <c r="A60" s="57">
        <v>157</v>
      </c>
      <c r="B60" s="59" t="s">
        <v>220</v>
      </c>
      <c r="C60" s="60" t="s">
        <v>46</v>
      </c>
      <c r="D60" s="61">
        <v>2238022</v>
      </c>
      <c r="E60" s="61">
        <v>2096969</v>
      </c>
      <c r="F60" s="61">
        <v>3135667</v>
      </c>
      <c r="G60" s="61">
        <v>2789932</v>
      </c>
      <c r="H60" s="61">
        <f>2871484-506</f>
        <v>2870978</v>
      </c>
      <c r="I60" s="61">
        <f>1221831+1512377+35285</f>
        <v>2769493</v>
      </c>
      <c r="J60" s="61">
        <v>7720541.1500000004</v>
      </c>
    </row>
    <row r="61" spans="1:10">
      <c r="A61" s="57">
        <v>158</v>
      </c>
      <c r="B61" s="59" t="s">
        <v>221</v>
      </c>
      <c r="C61" s="60" t="s">
        <v>46</v>
      </c>
      <c r="D61" s="61">
        <v>2877481</v>
      </c>
      <c r="E61" s="61">
        <v>3035998</v>
      </c>
      <c r="F61" s="61">
        <v>3668499</v>
      </c>
      <c r="G61" s="61">
        <v>3766374</v>
      </c>
      <c r="H61" s="61">
        <v>1778681</v>
      </c>
      <c r="I61" s="61">
        <v>2050924</v>
      </c>
      <c r="J61" s="61">
        <v>2133903.0699999998</v>
      </c>
    </row>
    <row r="62" spans="1:10">
      <c r="A62" s="57">
        <v>159</v>
      </c>
      <c r="B62" s="59" t="s">
        <v>222</v>
      </c>
      <c r="C62" s="60" t="s">
        <v>46</v>
      </c>
      <c r="D62" s="61">
        <v>0</v>
      </c>
      <c r="E62" s="61">
        <v>0</v>
      </c>
      <c r="F62" s="61">
        <v>0</v>
      </c>
      <c r="G62" s="61"/>
      <c r="H62" s="61"/>
      <c r="I62" s="61"/>
      <c r="J62" s="61">
        <v>0</v>
      </c>
    </row>
    <row r="63" spans="1:10">
      <c r="A63" s="57">
        <v>160</v>
      </c>
      <c r="B63" s="59" t="s">
        <v>223</v>
      </c>
      <c r="C63" s="60" t="s">
        <v>46</v>
      </c>
      <c r="D63" s="61">
        <v>583228</v>
      </c>
      <c r="E63" s="61">
        <v>465072</v>
      </c>
      <c r="F63" s="61">
        <v>45886</v>
      </c>
      <c r="G63" s="61">
        <v>34019</v>
      </c>
      <c r="H63" s="61">
        <v>20653</v>
      </c>
      <c r="I63" s="61"/>
      <c r="J63" s="61">
        <v>1326791.1000000001</v>
      </c>
    </row>
    <row r="64" spans="1:10">
      <c r="A64" s="57">
        <v>161</v>
      </c>
      <c r="B64" s="59" t="s">
        <v>224</v>
      </c>
      <c r="C64" s="60" t="s">
        <v>47</v>
      </c>
      <c r="D64" s="61">
        <v>592965</v>
      </c>
      <c r="E64" s="61">
        <v>556485</v>
      </c>
      <c r="F64" s="61">
        <v>747800</v>
      </c>
      <c r="G64" s="61">
        <v>595310</v>
      </c>
      <c r="H64" s="61">
        <v>634117</v>
      </c>
      <c r="I64" s="61">
        <v>710401</v>
      </c>
      <c r="J64" s="61">
        <v>825447.66</v>
      </c>
    </row>
    <row r="65" spans="1:13">
      <c r="A65" s="57">
        <v>162</v>
      </c>
      <c r="B65" s="59" t="s">
        <v>225</v>
      </c>
      <c r="C65" s="60" t="s">
        <v>50</v>
      </c>
      <c r="D65" s="61">
        <v>563359</v>
      </c>
      <c r="E65" s="61">
        <v>636850</v>
      </c>
      <c r="F65" s="61">
        <v>458822</v>
      </c>
      <c r="G65" s="61">
        <v>376973</v>
      </c>
      <c r="H65" s="61">
        <f>275759+107967</f>
        <v>383726</v>
      </c>
      <c r="I65" s="61">
        <f>274734+91761</f>
        <v>366495</v>
      </c>
      <c r="J65" s="61">
        <v>726146.35</v>
      </c>
    </row>
    <row r="66" spans="1:13">
      <c r="A66" s="57">
        <v>163</v>
      </c>
      <c r="B66" s="59" t="s">
        <v>226</v>
      </c>
      <c r="C66" s="60" t="s">
        <v>50</v>
      </c>
      <c r="D66" s="61">
        <v>10579868</v>
      </c>
      <c r="E66" s="61">
        <v>8114498</v>
      </c>
      <c r="F66" s="61">
        <v>11881970</v>
      </c>
      <c r="G66" s="61">
        <v>13490510</v>
      </c>
      <c r="H66" s="61">
        <f>3697915+9739781</f>
        <v>13437696</v>
      </c>
      <c r="I66" s="61">
        <f>3610005+9920510</f>
        <v>13530515</v>
      </c>
      <c r="J66" s="61">
        <v>13403102.390000001</v>
      </c>
    </row>
    <row r="67" spans="1:13">
      <c r="A67" s="57">
        <v>164</v>
      </c>
      <c r="B67" s="59" t="s">
        <v>227</v>
      </c>
      <c r="C67" s="60" t="s">
        <v>51</v>
      </c>
      <c r="D67" s="61">
        <v>49326</v>
      </c>
      <c r="E67" s="61">
        <v>55038</v>
      </c>
      <c r="F67" s="61">
        <v>2900678</v>
      </c>
      <c r="G67" s="61">
        <v>1207454</v>
      </c>
      <c r="H67" s="61">
        <f>1101143+33400</f>
        <v>1134543</v>
      </c>
      <c r="I67" s="61">
        <f>1127464+127155</f>
        <v>1254619</v>
      </c>
      <c r="J67" s="61">
        <v>0</v>
      </c>
    </row>
    <row r="68" spans="1:13">
      <c r="A68" s="57">
        <v>165</v>
      </c>
      <c r="B68" s="59" t="s">
        <v>228</v>
      </c>
      <c r="C68" s="60" t="s">
        <v>51</v>
      </c>
      <c r="D68" s="61">
        <v>74541</v>
      </c>
      <c r="E68" s="61">
        <v>76520</v>
      </c>
      <c r="F68" s="61">
        <v>58630</v>
      </c>
      <c r="G68" s="61"/>
      <c r="H68" s="61"/>
      <c r="I68" s="61"/>
      <c r="J68" s="61">
        <v>0</v>
      </c>
    </row>
    <row r="69" spans="1:13">
      <c r="A69" s="57">
        <v>166</v>
      </c>
      <c r="B69" s="59" t="s">
        <v>229</v>
      </c>
      <c r="C69" s="60" t="s">
        <v>51</v>
      </c>
      <c r="D69" s="61">
        <v>161706</v>
      </c>
      <c r="E69" s="61">
        <v>269401</v>
      </c>
      <c r="F69" s="61">
        <v>79039</v>
      </c>
      <c r="G69" s="61">
        <v>117998</v>
      </c>
      <c r="H69" s="61">
        <f>157044+28800</f>
        <v>185844</v>
      </c>
      <c r="I69" s="61">
        <f>258049+36170</f>
        <v>294219</v>
      </c>
      <c r="J69" s="61">
        <v>349924.27</v>
      </c>
    </row>
    <row r="70" spans="1:13">
      <c r="A70" s="57">
        <v>167</v>
      </c>
      <c r="B70" s="59" t="s">
        <v>230</v>
      </c>
      <c r="C70" s="60" t="s">
        <v>51</v>
      </c>
      <c r="D70" s="61">
        <v>3634944</v>
      </c>
      <c r="E70" s="61">
        <v>2292701</v>
      </c>
      <c r="F70" s="61">
        <v>2024459</v>
      </c>
      <c r="G70" s="61">
        <v>2140785</v>
      </c>
      <c r="H70" s="61">
        <f>2295822+10935</f>
        <v>2306757</v>
      </c>
      <c r="I70" s="61">
        <f>105000+1851066</f>
        <v>1956066</v>
      </c>
      <c r="J70" s="61">
        <v>3643614.77</v>
      </c>
    </row>
    <row r="71" spans="1:13">
      <c r="A71" s="57">
        <v>168</v>
      </c>
      <c r="B71" s="59" t="s">
        <v>231</v>
      </c>
      <c r="C71" s="60" t="s">
        <v>51</v>
      </c>
      <c r="D71" s="61">
        <v>0</v>
      </c>
      <c r="E71" s="61">
        <v>0</v>
      </c>
      <c r="F71" s="61">
        <v>0</v>
      </c>
      <c r="G71" s="61"/>
      <c r="H71" s="61"/>
      <c r="I71" s="61"/>
      <c r="J71" s="61">
        <v>0</v>
      </c>
    </row>
    <row r="72" spans="1:13">
      <c r="A72" s="57">
        <v>169</v>
      </c>
      <c r="B72" s="59" t="s">
        <v>232</v>
      </c>
      <c r="C72" s="60" t="s">
        <v>51</v>
      </c>
      <c r="D72" s="61">
        <v>14101594</v>
      </c>
      <c r="E72" s="61">
        <v>15278525</v>
      </c>
      <c r="F72" s="61">
        <v>18321018</v>
      </c>
      <c r="G72" s="61">
        <v>20034881</v>
      </c>
      <c r="H72" s="61">
        <f>8302707+13344315</f>
        <v>21647022</v>
      </c>
      <c r="I72" s="61">
        <v>26423838</v>
      </c>
      <c r="J72" s="61">
        <v>34609360.219999999</v>
      </c>
    </row>
    <row r="73" spans="1:13">
      <c r="A73" s="57">
        <v>170</v>
      </c>
      <c r="B73" s="59" t="s">
        <v>233</v>
      </c>
      <c r="C73" s="60" t="s">
        <v>51</v>
      </c>
      <c r="D73" s="61">
        <v>7691255</v>
      </c>
      <c r="E73" s="61">
        <v>243620</v>
      </c>
      <c r="F73" s="61">
        <v>0</v>
      </c>
      <c r="G73" s="61"/>
      <c r="H73" s="61">
        <v>9601754</v>
      </c>
      <c r="I73" s="61"/>
      <c r="J73" s="61">
        <v>0</v>
      </c>
    </row>
    <row r="74" spans="1:13">
      <c r="A74" s="57">
        <v>171</v>
      </c>
      <c r="B74" s="59" t="s">
        <v>234</v>
      </c>
      <c r="C74" s="60" t="s">
        <v>51</v>
      </c>
      <c r="D74" s="61">
        <v>0</v>
      </c>
      <c r="E74" s="61">
        <v>0</v>
      </c>
      <c r="F74" s="61">
        <v>1103959</v>
      </c>
      <c r="G74" s="61"/>
      <c r="H74" s="61"/>
      <c r="I74" s="61"/>
      <c r="J74" s="61">
        <v>0</v>
      </c>
    </row>
    <row r="75" spans="1:13">
      <c r="A75" s="57">
        <v>172</v>
      </c>
      <c r="B75" s="59" t="s">
        <v>235</v>
      </c>
      <c r="C75" s="60" t="s">
        <v>51</v>
      </c>
      <c r="D75" s="61">
        <v>61641298</v>
      </c>
      <c r="E75" s="61">
        <v>53160704</v>
      </c>
      <c r="F75" s="61">
        <v>49529306</v>
      </c>
      <c r="G75" s="61">
        <v>48511001</v>
      </c>
      <c r="H75" s="61">
        <v>49052800</v>
      </c>
      <c r="I75" s="61">
        <f>18342278+40056749</f>
        <v>58399027</v>
      </c>
      <c r="J75" s="61">
        <v>50116382.979999997</v>
      </c>
    </row>
    <row r="76" spans="1:13">
      <c r="A76" s="57">
        <v>173</v>
      </c>
      <c r="B76" s="63" t="s">
        <v>236</v>
      </c>
      <c r="C76" s="63"/>
      <c r="D76" s="90">
        <f t="shared" ref="D76:H76" si="0">SUM(D4:D75)</f>
        <v>299957389</v>
      </c>
      <c r="E76" s="90">
        <f t="shared" si="0"/>
        <v>289625980</v>
      </c>
      <c r="F76" s="90">
        <f t="shared" si="0"/>
        <v>286182420</v>
      </c>
      <c r="G76" s="90">
        <f t="shared" si="0"/>
        <v>285566231</v>
      </c>
      <c r="H76" s="90">
        <f t="shared" si="0"/>
        <v>299134820</v>
      </c>
      <c r="I76" s="90">
        <f>SUM(I4:I75)</f>
        <v>326134441</v>
      </c>
      <c r="J76" s="90">
        <f>SUM(J4:J75)</f>
        <v>336875794.36000001</v>
      </c>
      <c r="M76">
        <f>159404549+126677871</f>
        <v>286082420</v>
      </c>
    </row>
    <row r="77" spans="1:13">
      <c r="A77" s="57"/>
      <c r="B77" s="59" t="s">
        <v>29</v>
      </c>
      <c r="C77" s="59"/>
      <c r="D77" s="61"/>
      <c r="E77" s="61"/>
      <c r="F77" s="61"/>
      <c r="G77" s="61"/>
      <c r="H77" s="61"/>
      <c r="I77" s="61"/>
      <c r="J77" s="61"/>
    </row>
    <row r="78" spans="1:13">
      <c r="A78" s="57">
        <v>201</v>
      </c>
      <c r="B78" s="59" t="s">
        <v>237</v>
      </c>
      <c r="C78" s="60" t="s">
        <v>56</v>
      </c>
      <c r="D78" s="61">
        <v>854729</v>
      </c>
      <c r="E78" s="61">
        <v>792093</v>
      </c>
      <c r="F78" s="61">
        <v>788219</v>
      </c>
      <c r="G78" s="61">
        <v>811029</v>
      </c>
      <c r="H78" s="61">
        <v>812566</v>
      </c>
      <c r="I78" s="61">
        <v>853877</v>
      </c>
      <c r="J78" s="61">
        <v>954368</v>
      </c>
    </row>
    <row r="79" spans="1:13">
      <c r="A79" s="57">
        <v>202</v>
      </c>
      <c r="B79" s="59" t="s">
        <v>238</v>
      </c>
      <c r="C79" s="60" t="s">
        <v>56</v>
      </c>
      <c r="D79" s="61">
        <v>22701651</v>
      </c>
      <c r="E79" s="61">
        <v>23018221</v>
      </c>
      <c r="F79" s="61">
        <v>31811362</v>
      </c>
      <c r="G79" s="61">
        <v>31335266</v>
      </c>
      <c r="H79" s="61">
        <v>31392397</v>
      </c>
      <c r="I79" s="61">
        <v>34287911</v>
      </c>
      <c r="J79" s="61"/>
    </row>
    <row r="80" spans="1:13">
      <c r="A80" s="57">
        <v>203</v>
      </c>
      <c r="B80" s="59" t="s">
        <v>239</v>
      </c>
      <c r="C80" s="60" t="s">
        <v>56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1283574</v>
      </c>
    </row>
    <row r="81" spans="1:10">
      <c r="A81" s="57">
        <v>204</v>
      </c>
      <c r="B81" s="59" t="s">
        <v>240</v>
      </c>
      <c r="C81" s="60" t="s">
        <v>56</v>
      </c>
      <c r="D81" s="61">
        <v>1213741</v>
      </c>
      <c r="E81" s="61">
        <v>1022562</v>
      </c>
      <c r="F81" s="61">
        <v>992606</v>
      </c>
      <c r="G81" s="61">
        <v>1020700</v>
      </c>
      <c r="H81" s="61">
        <v>1026951</v>
      </c>
      <c r="I81" s="61">
        <v>1075433</v>
      </c>
      <c r="J81" s="61">
        <v>1149747</v>
      </c>
    </row>
    <row r="82" spans="1:10">
      <c r="A82" s="57">
        <v>205</v>
      </c>
      <c r="B82" s="59" t="s">
        <v>241</v>
      </c>
      <c r="C82" s="60" t="s">
        <v>56</v>
      </c>
      <c r="D82" s="61">
        <v>1486888</v>
      </c>
      <c r="E82" s="61">
        <v>1417962</v>
      </c>
      <c r="F82" s="61">
        <v>1379710</v>
      </c>
      <c r="G82" s="61">
        <v>1387262</v>
      </c>
      <c r="H82" s="61">
        <v>1400019</v>
      </c>
      <c r="I82" s="61">
        <v>1423039</v>
      </c>
      <c r="J82" s="61">
        <v>1610552.5</v>
      </c>
    </row>
    <row r="83" spans="1:10">
      <c r="A83" s="57">
        <v>206</v>
      </c>
      <c r="B83" s="59" t="s">
        <v>242</v>
      </c>
      <c r="C83" s="60" t="s">
        <v>56</v>
      </c>
      <c r="D83" s="61">
        <v>2290789</v>
      </c>
      <c r="E83" s="61">
        <v>2277228</v>
      </c>
      <c r="F83" s="61">
        <v>2282038</v>
      </c>
      <c r="G83" s="61">
        <v>2211957</v>
      </c>
      <c r="H83" s="61">
        <v>2211930</v>
      </c>
      <c r="I83" s="61">
        <v>2283656</v>
      </c>
      <c r="J83" s="61">
        <v>2314261.31</v>
      </c>
    </row>
    <row r="84" spans="1:10">
      <c r="A84" s="57">
        <v>207</v>
      </c>
      <c r="B84" s="59" t="s">
        <v>243</v>
      </c>
      <c r="C84" s="60" t="s">
        <v>56</v>
      </c>
      <c r="D84" s="61">
        <v>409068</v>
      </c>
      <c r="E84" s="61">
        <v>296294</v>
      </c>
      <c r="F84" s="61">
        <v>538073</v>
      </c>
      <c r="G84" s="61">
        <v>219683</v>
      </c>
      <c r="H84" s="61">
        <v>429744</v>
      </c>
      <c r="I84" s="61">
        <v>317569</v>
      </c>
      <c r="J84" s="61">
        <v>584235.30000000005</v>
      </c>
    </row>
    <row r="85" spans="1:10">
      <c r="A85" s="57">
        <v>208</v>
      </c>
      <c r="B85" s="59" t="s">
        <v>244</v>
      </c>
      <c r="C85" s="60" t="s">
        <v>56</v>
      </c>
      <c r="D85" s="61">
        <v>19976794</v>
      </c>
      <c r="E85" s="61">
        <v>20856941</v>
      </c>
      <c r="F85" s="61">
        <v>21160810</v>
      </c>
      <c r="G85" s="61">
        <v>1672231</v>
      </c>
      <c r="H85" s="61">
        <v>1671350</v>
      </c>
      <c r="I85" s="61">
        <v>1746561</v>
      </c>
      <c r="J85" s="61">
        <v>8671463.3000000007</v>
      </c>
    </row>
    <row r="86" spans="1:10">
      <c r="A86" s="57">
        <v>209</v>
      </c>
      <c r="B86" s="59" t="s">
        <v>245</v>
      </c>
      <c r="C86" s="60" t="s">
        <v>56</v>
      </c>
      <c r="D86" s="61">
        <v>1696747</v>
      </c>
      <c r="E86" s="61">
        <v>1967112</v>
      </c>
      <c r="F86" s="61">
        <v>1844593</v>
      </c>
      <c r="G86" s="61">
        <v>13867960</v>
      </c>
      <c r="H86" s="61">
        <v>14099361</v>
      </c>
      <c r="I86" s="61">
        <v>13830385</v>
      </c>
      <c r="J86" s="61">
        <v>15501616.300000001</v>
      </c>
    </row>
    <row r="87" spans="1:10">
      <c r="A87" s="57">
        <v>210</v>
      </c>
      <c r="B87" s="59" t="s">
        <v>246</v>
      </c>
      <c r="C87" s="60" t="s">
        <v>247</v>
      </c>
      <c r="D87" s="61">
        <v>15666019</v>
      </c>
      <c r="E87" s="61">
        <v>14129096</v>
      </c>
      <c r="F87" s="61">
        <v>15925307</v>
      </c>
      <c r="G87" s="61">
        <v>18726972</v>
      </c>
      <c r="H87" s="61">
        <f>16800490+977518</f>
        <v>17778008</v>
      </c>
      <c r="I87" s="61">
        <f>11159155+1012763</f>
        <v>12171918</v>
      </c>
      <c r="J87" s="61">
        <v>41870515</v>
      </c>
    </row>
    <row r="88" spans="1:10">
      <c r="A88" s="57">
        <v>211</v>
      </c>
      <c r="B88" s="59" t="s">
        <v>248</v>
      </c>
      <c r="C88" s="60" t="s">
        <v>57</v>
      </c>
      <c r="D88" s="61">
        <v>22480979</v>
      </c>
      <c r="E88" s="61">
        <v>24746176</v>
      </c>
      <c r="F88" s="61">
        <v>24488128</v>
      </c>
      <c r="G88" s="61">
        <v>25978457</v>
      </c>
      <c r="H88" s="61">
        <v>27326550</v>
      </c>
      <c r="I88" s="61">
        <v>26724735</v>
      </c>
      <c r="J88" s="61">
        <v>36183598</v>
      </c>
    </row>
    <row r="89" spans="1:10">
      <c r="A89" s="57">
        <v>212</v>
      </c>
      <c r="B89" s="59" t="s">
        <v>249</v>
      </c>
      <c r="C89" s="60" t="s">
        <v>57</v>
      </c>
      <c r="D89" s="61">
        <v>593149</v>
      </c>
      <c r="E89" s="61">
        <v>826666</v>
      </c>
      <c r="F89" s="61">
        <v>250682</v>
      </c>
      <c r="G89" s="61">
        <v>693464</v>
      </c>
      <c r="H89" s="61">
        <v>597163</v>
      </c>
      <c r="I89" s="61">
        <v>267642</v>
      </c>
      <c r="J89" s="61">
        <v>329158</v>
      </c>
    </row>
    <row r="90" spans="1:10">
      <c r="A90" s="57">
        <v>213</v>
      </c>
      <c r="B90" s="59" t="s">
        <v>250</v>
      </c>
      <c r="C90" s="60" t="s">
        <v>57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</row>
    <row r="91" spans="1:10">
      <c r="A91" s="57">
        <v>214</v>
      </c>
      <c r="B91" s="59" t="s">
        <v>251</v>
      </c>
      <c r="C91" s="60" t="s">
        <v>57</v>
      </c>
      <c r="D91" s="61">
        <v>6651584</v>
      </c>
      <c r="E91" s="61">
        <v>7526331</v>
      </c>
      <c r="F91" s="61">
        <v>7554498</v>
      </c>
      <c r="G91" s="61">
        <v>7493781</v>
      </c>
      <c r="H91" s="61">
        <v>7594088</v>
      </c>
      <c r="I91" s="61">
        <v>7706876</v>
      </c>
      <c r="J91" s="61"/>
    </row>
    <row r="92" spans="1:10">
      <c r="A92" s="57">
        <v>215</v>
      </c>
      <c r="B92" s="59" t="s">
        <v>252</v>
      </c>
      <c r="C92" s="60" t="s">
        <v>57</v>
      </c>
      <c r="D92" s="61">
        <v>31452665</v>
      </c>
      <c r="E92" s="61">
        <v>33035632</v>
      </c>
      <c r="F92" s="61">
        <v>33705114</v>
      </c>
      <c r="G92" s="61">
        <v>33840998</v>
      </c>
      <c r="H92" s="61">
        <v>33611553</v>
      </c>
      <c r="I92" s="61">
        <v>33259423</v>
      </c>
      <c r="J92" s="61">
        <v>37378903</v>
      </c>
    </row>
    <row r="93" spans="1:10">
      <c r="A93" s="57">
        <v>216</v>
      </c>
      <c r="B93" s="59" t="s">
        <v>253</v>
      </c>
      <c r="C93" s="60" t="s">
        <v>57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/>
    </row>
    <row r="94" spans="1:10">
      <c r="A94" s="57">
        <v>217</v>
      </c>
      <c r="B94" s="59" t="s">
        <v>254</v>
      </c>
      <c r="C94" s="60" t="s">
        <v>57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2327450</v>
      </c>
    </row>
    <row r="95" spans="1:10">
      <c r="A95" s="57">
        <v>218</v>
      </c>
      <c r="B95" s="59" t="s">
        <v>255</v>
      </c>
      <c r="C95" s="60" t="s">
        <v>59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/>
    </row>
    <row r="96" spans="1:10">
      <c r="A96" s="57">
        <v>219</v>
      </c>
      <c r="B96" s="59" t="s">
        <v>256</v>
      </c>
      <c r="C96" s="60" t="s">
        <v>40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/>
    </row>
    <row r="97" spans="1:10">
      <c r="A97" s="57">
        <v>220</v>
      </c>
      <c r="B97" s="59" t="s">
        <v>257</v>
      </c>
      <c r="C97" s="60" t="s">
        <v>59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/>
    </row>
    <row r="98" spans="1:10">
      <c r="A98" s="57">
        <v>221</v>
      </c>
      <c r="B98" s="59" t="s">
        <v>258</v>
      </c>
      <c r="C98" s="60" t="s">
        <v>59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/>
    </row>
    <row r="99" spans="1:10">
      <c r="A99" s="57">
        <v>222</v>
      </c>
      <c r="B99" s="59" t="s">
        <v>259</v>
      </c>
      <c r="C99" s="60" t="s">
        <v>59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/>
    </row>
    <row r="100" spans="1:10">
      <c r="A100" s="57">
        <v>223</v>
      </c>
      <c r="B100" s="59" t="s">
        <v>260</v>
      </c>
      <c r="C100" s="60" t="s">
        <v>59</v>
      </c>
      <c r="D100" s="61">
        <v>0</v>
      </c>
      <c r="E100" s="61">
        <v>0</v>
      </c>
      <c r="F100" s="61">
        <v>0</v>
      </c>
      <c r="G100" s="61">
        <v>0</v>
      </c>
      <c r="H100" s="61">
        <v>0</v>
      </c>
      <c r="I100" s="61">
        <v>0</v>
      </c>
      <c r="J100" s="61"/>
    </row>
    <row r="101" spans="1:10">
      <c r="A101" s="57">
        <v>224</v>
      </c>
      <c r="B101" s="59" t="s">
        <v>261</v>
      </c>
      <c r="C101" s="60" t="s">
        <v>59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/>
    </row>
    <row r="102" spans="1:10">
      <c r="A102" s="57">
        <v>225</v>
      </c>
      <c r="B102" s="59" t="s">
        <v>258</v>
      </c>
      <c r="C102" s="60" t="s">
        <v>59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/>
    </row>
    <row r="103" spans="1:10">
      <c r="A103" s="57">
        <v>226</v>
      </c>
      <c r="B103" s="59" t="s">
        <v>262</v>
      </c>
      <c r="C103" s="60" t="s">
        <v>59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/>
    </row>
    <row r="104" spans="1:10">
      <c r="A104" s="57">
        <v>227</v>
      </c>
      <c r="B104" s="59" t="s">
        <v>263</v>
      </c>
      <c r="C104" s="60" t="s">
        <v>60</v>
      </c>
      <c r="D104" s="61">
        <v>27089185</v>
      </c>
      <c r="E104" s="61">
        <v>25529396</v>
      </c>
      <c r="F104" s="61">
        <v>24330133</v>
      </c>
      <c r="G104" s="61">
        <v>29629811</v>
      </c>
      <c r="H104" s="61">
        <v>29906736</v>
      </c>
      <c r="I104" s="61">
        <v>35496067</v>
      </c>
      <c r="J104" s="61">
        <v>20884188</v>
      </c>
    </row>
    <row r="105" spans="1:10">
      <c r="A105" s="57">
        <v>228</v>
      </c>
      <c r="B105" s="59" t="s">
        <v>264</v>
      </c>
      <c r="C105" s="60" t="s">
        <v>60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1922916.8</v>
      </c>
    </row>
    <row r="106" spans="1:10">
      <c r="A106" s="57">
        <v>229</v>
      </c>
      <c r="B106" s="59" t="s">
        <v>265</v>
      </c>
      <c r="C106" s="60" t="s">
        <v>60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/>
    </row>
    <row r="107" spans="1:10">
      <c r="A107" s="57">
        <v>230</v>
      </c>
      <c r="B107" s="59" t="s">
        <v>266</v>
      </c>
      <c r="C107" s="60" t="s">
        <v>60</v>
      </c>
      <c r="D107" s="61">
        <v>987398</v>
      </c>
      <c r="E107" s="61">
        <v>1300500</v>
      </c>
      <c r="F107" s="61">
        <v>1245673</v>
      </c>
      <c r="G107" s="61">
        <v>1131234</v>
      </c>
      <c r="H107" s="61">
        <v>1252786</v>
      </c>
      <c r="I107" s="61">
        <v>1376586</v>
      </c>
      <c r="J107" s="61">
        <v>1363252</v>
      </c>
    </row>
    <row r="108" spans="1:10">
      <c r="A108" s="57">
        <v>231</v>
      </c>
      <c r="B108" s="59" t="s">
        <v>267</v>
      </c>
      <c r="C108" s="60" t="s">
        <v>60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2025942</v>
      </c>
    </row>
    <row r="109" spans="1:10">
      <c r="A109" s="57">
        <v>232</v>
      </c>
      <c r="B109" s="59" t="s">
        <v>268</v>
      </c>
      <c r="C109" s="60" t="s">
        <v>60</v>
      </c>
      <c r="D109" s="61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/>
    </row>
    <row r="110" spans="1:10">
      <c r="A110" s="57">
        <v>233</v>
      </c>
      <c r="B110" s="59" t="s">
        <v>269</v>
      </c>
      <c r="C110" s="60" t="s">
        <v>60</v>
      </c>
      <c r="D110" s="61">
        <v>40397098</v>
      </c>
      <c r="E110" s="61">
        <v>40803326</v>
      </c>
      <c r="F110" s="61">
        <v>31582606</v>
      </c>
      <c r="G110" s="61">
        <v>28952975</v>
      </c>
      <c r="H110" s="61">
        <v>29530771</v>
      </c>
      <c r="I110" s="61">
        <v>33239874</v>
      </c>
      <c r="J110" s="61">
        <v>27333830</v>
      </c>
    </row>
    <row r="111" spans="1:10">
      <c r="A111" s="57">
        <v>234</v>
      </c>
      <c r="B111" s="59" t="s">
        <v>270</v>
      </c>
      <c r="C111" s="60" t="s">
        <v>60</v>
      </c>
      <c r="D111" s="61">
        <v>7443187</v>
      </c>
      <c r="E111" s="61">
        <v>7188949</v>
      </c>
      <c r="F111" s="61">
        <v>7155552</v>
      </c>
      <c r="G111" s="61">
        <v>6954494</v>
      </c>
      <c r="H111" s="61">
        <v>6955584</v>
      </c>
      <c r="I111" s="61">
        <v>9887280</v>
      </c>
      <c r="J111" s="61">
        <v>452430.7</v>
      </c>
    </row>
    <row r="112" spans="1:10">
      <c r="A112" s="57">
        <v>235</v>
      </c>
      <c r="B112" s="59" t="s">
        <v>271</v>
      </c>
      <c r="C112" s="60" t="s">
        <v>60</v>
      </c>
      <c r="D112" s="61">
        <v>14546</v>
      </c>
      <c r="E112" s="61">
        <v>14546</v>
      </c>
      <c r="F112" s="61">
        <v>3806</v>
      </c>
      <c r="G112" s="61">
        <v>15225</v>
      </c>
      <c r="H112" s="61">
        <v>15225</v>
      </c>
      <c r="I112" s="61">
        <v>15225</v>
      </c>
      <c r="J112" s="61">
        <v>15225</v>
      </c>
    </row>
    <row r="113" spans="1:10">
      <c r="A113" s="57">
        <v>236</v>
      </c>
      <c r="B113" s="59" t="s">
        <v>272</v>
      </c>
      <c r="C113" s="60" t="s">
        <v>60</v>
      </c>
      <c r="D113" s="61">
        <v>239054</v>
      </c>
      <c r="E113" s="61">
        <v>270780</v>
      </c>
      <c r="F113" s="61">
        <v>363056</v>
      </c>
      <c r="G113" s="61">
        <v>419740</v>
      </c>
      <c r="H113" s="61">
        <v>469694</v>
      </c>
      <c r="I113" s="61">
        <v>902755</v>
      </c>
      <c r="J113" s="61">
        <v>1016128</v>
      </c>
    </row>
    <row r="114" spans="1:10">
      <c r="A114" s="57">
        <v>237</v>
      </c>
      <c r="B114" s="59" t="s">
        <v>273</v>
      </c>
      <c r="C114" s="60" t="s">
        <v>60</v>
      </c>
      <c r="D114" s="61">
        <v>922644</v>
      </c>
      <c r="E114" s="61">
        <v>888270</v>
      </c>
      <c r="F114" s="61">
        <v>0</v>
      </c>
      <c r="G114" s="61">
        <v>0</v>
      </c>
      <c r="H114" s="61">
        <v>0</v>
      </c>
      <c r="I114" s="61">
        <v>63390</v>
      </c>
      <c r="J114" s="61">
        <v>15352011</v>
      </c>
    </row>
    <row r="115" spans="1:10" ht="28.8">
      <c r="A115" s="57">
        <v>238</v>
      </c>
      <c r="B115" s="59" t="s">
        <v>274</v>
      </c>
      <c r="C115" s="60" t="s">
        <v>290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3067627</v>
      </c>
    </row>
    <row r="116" spans="1:10" ht="28.8">
      <c r="A116" s="57">
        <v>239</v>
      </c>
      <c r="B116" s="59" t="s">
        <v>275</v>
      </c>
      <c r="C116" s="60" t="s">
        <v>290</v>
      </c>
      <c r="D116" s="61"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</row>
    <row r="117" spans="1:10" ht="28.8">
      <c r="A117" s="57">
        <v>240</v>
      </c>
      <c r="B117" s="59" t="s">
        <v>276</v>
      </c>
      <c r="C117" s="60" t="s">
        <v>290</v>
      </c>
      <c r="D117" s="61">
        <v>85000</v>
      </c>
      <c r="E117" s="61">
        <v>85000</v>
      </c>
      <c r="F117" s="61">
        <v>150000</v>
      </c>
      <c r="G117" s="61">
        <v>150000</v>
      </c>
      <c r="H117" s="61">
        <v>150000</v>
      </c>
      <c r="I117" s="61">
        <v>157500</v>
      </c>
      <c r="J117" s="61">
        <v>8530529</v>
      </c>
    </row>
    <row r="118" spans="1:10" ht="28.8">
      <c r="A118" s="57">
        <v>241</v>
      </c>
      <c r="B118" s="59" t="s">
        <v>277</v>
      </c>
      <c r="C118" s="60" t="s">
        <v>290</v>
      </c>
      <c r="D118" s="61">
        <v>11614242</v>
      </c>
      <c r="E118" s="61">
        <v>12597777</v>
      </c>
      <c r="F118" s="61">
        <v>11024056</v>
      </c>
      <c r="G118" s="61">
        <v>10646942</v>
      </c>
      <c r="H118" s="61">
        <v>11388112</v>
      </c>
      <c r="I118" s="61">
        <v>17846248</v>
      </c>
      <c r="J118" s="61">
        <v>309192.90000000002</v>
      </c>
    </row>
    <row r="119" spans="1:10">
      <c r="A119" s="57">
        <v>242</v>
      </c>
      <c r="B119" s="59" t="s">
        <v>278</v>
      </c>
      <c r="C119" s="60" t="s">
        <v>61</v>
      </c>
      <c r="D119" s="61">
        <v>7146307</v>
      </c>
      <c r="E119" s="61">
        <v>7593227</v>
      </c>
      <c r="F119" s="61">
        <v>7915210</v>
      </c>
      <c r="G119" s="61">
        <v>8474782</v>
      </c>
      <c r="H119" s="61">
        <v>6823542</v>
      </c>
      <c r="I119" s="61">
        <v>1651075</v>
      </c>
      <c r="J119" s="61">
        <v>7602757.4800000004</v>
      </c>
    </row>
    <row r="120" spans="1:10">
      <c r="A120" s="57">
        <v>243</v>
      </c>
      <c r="B120" s="59" t="s">
        <v>279</v>
      </c>
      <c r="C120" s="60" t="s">
        <v>61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</row>
    <row r="121" spans="1:10">
      <c r="A121" s="57">
        <v>244</v>
      </c>
      <c r="B121" s="59" t="s">
        <v>280</v>
      </c>
      <c r="C121" s="60" t="s">
        <v>61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</row>
    <row r="122" spans="1:10" ht="28.8">
      <c r="A122" s="57">
        <v>245</v>
      </c>
      <c r="B122" s="59" t="s">
        <v>281</v>
      </c>
      <c r="C122" s="60" t="s">
        <v>54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</row>
    <row r="123" spans="1:10">
      <c r="A123" s="57">
        <v>246</v>
      </c>
      <c r="B123" s="59" t="s">
        <v>282</v>
      </c>
      <c r="C123" s="60" t="s">
        <v>62</v>
      </c>
      <c r="D123" s="61">
        <v>19996111</v>
      </c>
      <c r="E123" s="61">
        <v>12735599</v>
      </c>
      <c r="F123" s="61">
        <v>12866888</v>
      </c>
      <c r="G123" s="61">
        <v>6775034</v>
      </c>
      <c r="H123" s="61">
        <v>7337899</v>
      </c>
      <c r="I123" s="61">
        <f>13490669+491532</f>
        <v>13982201</v>
      </c>
      <c r="J123" s="61">
        <v>15455606</v>
      </c>
    </row>
    <row r="124" spans="1:10">
      <c r="A124" s="57">
        <v>247</v>
      </c>
      <c r="B124" s="59" t="s">
        <v>283</v>
      </c>
      <c r="C124" s="60" t="s">
        <v>63</v>
      </c>
      <c r="D124" s="61">
        <v>20700251</v>
      </c>
      <c r="E124" s="61">
        <v>11313212</v>
      </c>
      <c r="F124" s="61">
        <v>11359802</v>
      </c>
      <c r="G124" s="61">
        <v>12435283</v>
      </c>
      <c r="H124" s="61">
        <v>17559052</v>
      </c>
      <c r="I124" s="61">
        <v>12616315</v>
      </c>
      <c r="J124" s="61">
        <v>13088694</v>
      </c>
    </row>
    <row r="125" spans="1:10">
      <c r="A125" s="57">
        <v>248</v>
      </c>
      <c r="B125" s="59" t="s">
        <v>284</v>
      </c>
      <c r="C125" s="60" t="s">
        <v>54</v>
      </c>
      <c r="D125" s="61">
        <v>56460202</v>
      </c>
      <c r="E125" s="61">
        <v>48508539</v>
      </c>
      <c r="F125" s="61">
        <v>43432326</v>
      </c>
      <c r="G125" s="61">
        <v>43406848</v>
      </c>
      <c r="H125" s="61">
        <f>15644530+28202721</f>
        <v>43847251</v>
      </c>
      <c r="I125" s="61">
        <f>33086288+16854008</f>
        <v>49940296</v>
      </c>
      <c r="J125" s="61">
        <v>46516383</v>
      </c>
    </row>
    <row r="126" spans="1:10">
      <c r="A126" s="57">
        <v>249</v>
      </c>
      <c r="B126" s="59" t="s">
        <v>234</v>
      </c>
      <c r="C126" s="60" t="s">
        <v>54</v>
      </c>
      <c r="D126" s="62">
        <v>0</v>
      </c>
      <c r="E126" s="62">
        <v>0</v>
      </c>
      <c r="F126" s="62">
        <v>0</v>
      </c>
      <c r="G126" s="61">
        <v>0</v>
      </c>
      <c r="H126" s="61">
        <v>0</v>
      </c>
      <c r="I126" s="61">
        <v>0</v>
      </c>
      <c r="J126" s="61"/>
    </row>
    <row r="127" spans="1:10">
      <c r="A127" s="57">
        <v>250</v>
      </c>
      <c r="B127" s="63" t="s">
        <v>285</v>
      </c>
      <c r="C127" s="59"/>
      <c r="D127" s="61">
        <f t="shared" ref="D127:H127" si="1">SUM(D78:D126)</f>
        <v>320570028</v>
      </c>
      <c r="E127" s="61">
        <f t="shared" si="1"/>
        <v>300741435</v>
      </c>
      <c r="F127" s="61">
        <f t="shared" si="1"/>
        <v>294150248</v>
      </c>
      <c r="G127" s="61">
        <f t="shared" si="1"/>
        <v>288252128</v>
      </c>
      <c r="H127" s="61">
        <f t="shared" si="1"/>
        <v>295188332</v>
      </c>
      <c r="I127" s="61">
        <f t="shared" ref="I127:J127" si="2">SUM(I78:I126)</f>
        <v>313123837</v>
      </c>
      <c r="J127" s="61">
        <f t="shared" si="2"/>
        <v>315096154.59000003</v>
      </c>
    </row>
    <row r="128" spans="1:10">
      <c r="A128" s="57"/>
      <c r="B128" s="59"/>
      <c r="C128" s="59"/>
      <c r="D128" s="61"/>
      <c r="E128" s="61"/>
      <c r="F128" s="61"/>
      <c r="G128" s="61"/>
      <c r="H128" s="61"/>
      <c r="I128" s="61"/>
      <c r="J128" s="61"/>
    </row>
    <row r="129" spans="1:10">
      <c r="A129" s="57"/>
      <c r="B129" s="63" t="s">
        <v>286</v>
      </c>
      <c r="C129" s="59"/>
      <c r="D129" s="61"/>
      <c r="E129" s="61"/>
      <c r="F129" s="61"/>
      <c r="G129" s="61"/>
      <c r="H129" s="61"/>
      <c r="I129" s="61"/>
      <c r="J129" s="61"/>
    </row>
    <row r="130" spans="1:10">
      <c r="A130" s="57">
        <v>531</v>
      </c>
      <c r="B130" s="59" t="s">
        <v>1</v>
      </c>
      <c r="C130" s="59" t="s">
        <v>1</v>
      </c>
      <c r="D130" s="62">
        <v>1231388</v>
      </c>
      <c r="E130" s="62">
        <f>1114383+144497</f>
        <v>1258880</v>
      </c>
      <c r="F130" s="62">
        <v>1416966</v>
      </c>
      <c r="G130" s="62">
        <v>1967152</v>
      </c>
      <c r="H130" s="62">
        <f>1972792+167430</f>
        <v>2140222</v>
      </c>
      <c r="I130" s="62">
        <f>1298984</f>
        <v>1298984</v>
      </c>
      <c r="J130" s="62">
        <v>1925725</v>
      </c>
    </row>
    <row r="131" spans="1:10">
      <c r="A131" s="57">
        <v>532</v>
      </c>
      <c r="B131" s="59" t="s">
        <v>32</v>
      </c>
      <c r="C131" s="59" t="s">
        <v>32</v>
      </c>
      <c r="D131" s="62">
        <v>36166244</v>
      </c>
      <c r="E131" s="62">
        <v>25236629</v>
      </c>
      <c r="F131" s="62">
        <v>15786664</v>
      </c>
      <c r="G131" s="62">
        <v>11292058</v>
      </c>
      <c r="H131" s="62">
        <v>13050442</v>
      </c>
      <c r="I131" s="62">
        <v>12202392</v>
      </c>
      <c r="J131" s="62">
        <v>47047415</v>
      </c>
    </row>
    <row r="132" spans="1:10">
      <c r="A132" s="57">
        <v>533</v>
      </c>
      <c r="B132" s="59" t="s">
        <v>20</v>
      </c>
      <c r="C132" s="59" t="s">
        <v>20</v>
      </c>
      <c r="D132" s="62">
        <v>22831805</v>
      </c>
      <c r="E132" s="62">
        <v>23054680</v>
      </c>
      <c r="F132" s="62">
        <v>23452233</v>
      </c>
      <c r="G132" s="62">
        <v>23380820</v>
      </c>
      <c r="H132" s="62">
        <v>23861959</v>
      </c>
      <c r="I132" s="62">
        <v>24916354</v>
      </c>
      <c r="J132" s="62">
        <v>27865315</v>
      </c>
    </row>
    <row r="133" spans="1:10">
      <c r="A133" s="57">
        <v>534</v>
      </c>
      <c r="B133" s="59" t="s">
        <v>25</v>
      </c>
      <c r="C133" s="59" t="s">
        <v>25</v>
      </c>
      <c r="D133" s="62">
        <v>6238552</v>
      </c>
      <c r="E133" s="62">
        <f>56318+5918423</f>
        <v>5974741</v>
      </c>
      <c r="F133" s="62">
        <v>7259258</v>
      </c>
      <c r="G133" s="62">
        <v>9077348</v>
      </c>
      <c r="H133" s="62">
        <v>11040579</v>
      </c>
      <c r="I133" s="62">
        <v>19571880</v>
      </c>
      <c r="J133" s="62">
        <v>2961583</v>
      </c>
    </row>
    <row r="134" spans="1:10">
      <c r="A134" s="57">
        <v>535</v>
      </c>
      <c r="B134" s="59" t="s">
        <v>11</v>
      </c>
      <c r="C134" s="59" t="s">
        <v>11</v>
      </c>
      <c r="D134" s="62">
        <v>44600545</v>
      </c>
      <c r="E134" s="62">
        <v>44428169</v>
      </c>
      <c r="F134" s="62">
        <v>43970150</v>
      </c>
      <c r="G134" s="62">
        <v>43481995</v>
      </c>
      <c r="H134" s="62">
        <v>42936311</v>
      </c>
      <c r="I134" s="62">
        <v>43277242</v>
      </c>
      <c r="J134" s="62">
        <v>42569409</v>
      </c>
    </row>
    <row r="135" spans="1:10">
      <c r="A135" s="57">
        <v>536</v>
      </c>
      <c r="B135" s="63" t="s">
        <v>287</v>
      </c>
      <c r="C135" s="63"/>
      <c r="D135" s="61">
        <f t="shared" ref="D135:J135" si="3">SUM(D130:D134)</f>
        <v>111068534</v>
      </c>
      <c r="E135" s="61">
        <f t="shared" si="3"/>
        <v>99953099</v>
      </c>
      <c r="F135" s="61">
        <f t="shared" si="3"/>
        <v>91885271</v>
      </c>
      <c r="G135" s="61">
        <f t="shared" si="3"/>
        <v>89199373</v>
      </c>
      <c r="H135" s="61">
        <f t="shared" si="3"/>
        <v>93029513</v>
      </c>
      <c r="I135" s="61">
        <f t="shared" si="3"/>
        <v>101266852</v>
      </c>
      <c r="J135" s="61">
        <f t="shared" si="3"/>
        <v>122369447</v>
      </c>
    </row>
    <row r="138" spans="1:10">
      <c r="A138" s="64" t="s">
        <v>288</v>
      </c>
    </row>
    <row r="139" spans="1:10">
      <c r="A139" s="64" t="s">
        <v>289</v>
      </c>
    </row>
    <row r="144" spans="1:10">
      <c r="C144" s="65" t="s">
        <v>37</v>
      </c>
      <c r="D144">
        <f>157540123+142417266</f>
        <v>299957389</v>
      </c>
      <c r="E144">
        <f>158677524+130948456</f>
        <v>289625980</v>
      </c>
      <c r="F144">
        <f>159404549+126677871</f>
        <v>286082420</v>
      </c>
      <c r="G144">
        <f>160754057+124812174</f>
        <v>285566231</v>
      </c>
      <c r="H144">
        <f>160877472+138257348</f>
        <v>299134820</v>
      </c>
      <c r="I144">
        <f>265095221+57414419+4724050+287389</f>
        <v>327521079</v>
      </c>
      <c r="J144">
        <f>265095221+57414419+4724050+287389</f>
        <v>327521079</v>
      </c>
    </row>
    <row r="145" spans="3:10">
      <c r="C145" s="65" t="s">
        <v>292</v>
      </c>
      <c r="D145">
        <f>157432785+163137243</f>
        <v>320570028</v>
      </c>
      <c r="E145">
        <f>158623600+142117835</f>
        <v>300741435</v>
      </c>
      <c r="F145">
        <f>159395810+134754438</f>
        <v>294150248</v>
      </c>
      <c r="G145">
        <f>160743410+127508718</f>
        <v>288252128</v>
      </c>
      <c r="H145">
        <f>160710485+134477847</f>
        <v>295188332</v>
      </c>
      <c r="I145">
        <f>270328048+48955688</f>
        <v>319283736</v>
      </c>
      <c r="J145">
        <f>270328048+48955688</f>
        <v>319283736</v>
      </c>
    </row>
    <row r="146" spans="3:10">
      <c r="C146" s="65" t="s">
        <v>293</v>
      </c>
      <c r="D146">
        <f>68677003+42391531</f>
        <v>111068534</v>
      </c>
      <c r="E146">
        <f>68653550+31299549</f>
        <v>99953099</v>
      </c>
      <c r="F146">
        <f>68662289+23222982</f>
        <v>91885271</v>
      </c>
      <c r="G146">
        <f>68672936+20526437</f>
        <v>89199373</v>
      </c>
      <c r="H146">
        <f>68839933+24189580</f>
        <v>93029513</v>
      </c>
      <c r="I146">
        <f>93029509+I144-I145</f>
        <v>101266852</v>
      </c>
      <c r="J146">
        <f>93029509+J144-J145</f>
        <v>101266852</v>
      </c>
    </row>
    <row r="148" spans="3:10">
      <c r="C148" s="65" t="s">
        <v>294</v>
      </c>
      <c r="D148">
        <f>D76-D144</f>
        <v>0</v>
      </c>
      <c r="E148">
        <f t="shared" ref="E148:G148" si="4">E76-E144</f>
        <v>0</v>
      </c>
      <c r="F148">
        <f t="shared" si="4"/>
        <v>100000</v>
      </c>
      <c r="G148">
        <f t="shared" si="4"/>
        <v>0</v>
      </c>
      <c r="H148">
        <f>H76-H144</f>
        <v>0</v>
      </c>
      <c r="I148">
        <f>I76-I144</f>
        <v>-1386638</v>
      </c>
      <c r="J148">
        <f>J76-J144</f>
        <v>9354715.3600000143</v>
      </c>
    </row>
    <row r="149" spans="3:10">
      <c r="C149" s="65" t="s">
        <v>295</v>
      </c>
      <c r="D149">
        <f>D127-D145</f>
        <v>0</v>
      </c>
      <c r="E149">
        <f t="shared" ref="E149:H149" si="5">E127-E145</f>
        <v>0</v>
      </c>
      <c r="F149">
        <f t="shared" si="5"/>
        <v>0</v>
      </c>
      <c r="G149">
        <f t="shared" si="5"/>
        <v>0</v>
      </c>
      <c r="H149">
        <f t="shared" si="5"/>
        <v>0</v>
      </c>
      <c r="I149">
        <f t="shared" ref="I149:J149" si="6">I127-I145</f>
        <v>-6159899</v>
      </c>
      <c r="J149">
        <f t="shared" si="6"/>
        <v>-4187581.4099999666</v>
      </c>
    </row>
    <row r="150" spans="3:10">
      <c r="C150" s="65" t="s">
        <v>296</v>
      </c>
      <c r="D150">
        <f>D135-D146</f>
        <v>0</v>
      </c>
      <c r="E150">
        <f t="shared" ref="E150:H150" si="7">E135-E146</f>
        <v>0</v>
      </c>
      <c r="F150">
        <f t="shared" si="7"/>
        <v>0</v>
      </c>
      <c r="G150">
        <f t="shared" si="7"/>
        <v>0</v>
      </c>
      <c r="H150">
        <f t="shared" si="7"/>
        <v>0</v>
      </c>
      <c r="I150">
        <f t="shared" ref="I150:J150" si="8">I135-I146</f>
        <v>0</v>
      </c>
      <c r="J150">
        <f t="shared" si="8"/>
        <v>21102595</v>
      </c>
    </row>
  </sheetData>
  <conditionalFormatting sqref="D4:H127">
    <cfRule type="expression" dxfId="13" priority="13" stopIfTrue="1">
      <formula>LEN(TRIM(D4))=0</formula>
    </cfRule>
  </conditionalFormatting>
  <conditionalFormatting sqref="D130:H134">
    <cfRule type="expression" dxfId="12" priority="14" stopIfTrue="1">
      <formula>LEN(TRIM(D130))=0</formula>
    </cfRule>
  </conditionalFormatting>
  <conditionalFormatting sqref="I4:I127">
    <cfRule type="expression" dxfId="11" priority="11" stopIfTrue="1">
      <formula>LEN(TRIM(I4))=0</formula>
    </cfRule>
  </conditionalFormatting>
  <conditionalFormatting sqref="I130:I134">
    <cfRule type="expression" dxfId="10" priority="12" stopIfTrue="1">
      <formula>LEN(TRIM(I130))=0</formula>
    </cfRule>
  </conditionalFormatting>
  <conditionalFormatting sqref="H4:H127">
    <cfRule type="expression" dxfId="9" priority="9" stopIfTrue="1">
      <formula>LEN(TRIM(H4))=0</formula>
    </cfRule>
  </conditionalFormatting>
  <conditionalFormatting sqref="H130:H134">
    <cfRule type="expression" dxfId="8" priority="10" stopIfTrue="1">
      <formula>LEN(TRIM(H130))=0</formula>
    </cfRule>
  </conditionalFormatting>
  <conditionalFormatting sqref="J4:J127">
    <cfRule type="expression" dxfId="7" priority="7" stopIfTrue="1">
      <formula>LEN(TRIM(J4))=0</formula>
    </cfRule>
  </conditionalFormatting>
  <conditionalFormatting sqref="J130:J135">
    <cfRule type="expression" dxfId="6" priority="8" stopIfTrue="1">
      <formula>LEN(TRIM(J130))=0</formula>
    </cfRule>
  </conditionalFormatting>
  <conditionalFormatting sqref="I135">
    <cfRule type="expression" dxfId="5" priority="6" stopIfTrue="1">
      <formula>LEN(TRIM(I135))=0</formula>
    </cfRule>
  </conditionalFormatting>
  <conditionalFormatting sqref="H135">
    <cfRule type="expression" dxfId="4" priority="5" stopIfTrue="1">
      <formula>LEN(TRIM(H135))=0</formula>
    </cfRule>
  </conditionalFormatting>
  <conditionalFormatting sqref="G135">
    <cfRule type="expression" dxfId="3" priority="4" stopIfTrue="1">
      <formula>LEN(TRIM(G135))=0</formula>
    </cfRule>
  </conditionalFormatting>
  <conditionalFormatting sqref="F135">
    <cfRule type="expression" dxfId="2" priority="3" stopIfTrue="1">
      <formula>LEN(TRIM(F135))=0</formula>
    </cfRule>
  </conditionalFormatting>
  <conditionalFormatting sqref="E135">
    <cfRule type="expression" dxfId="1" priority="2" stopIfTrue="1">
      <formula>LEN(TRIM(E135))=0</formula>
    </cfRule>
  </conditionalFormatting>
  <conditionalFormatting sqref="D135">
    <cfRule type="expression" dxfId="0" priority="1" stopIfTrue="1">
      <formula>LEN(TRIM(D135))=0</formula>
    </cfRule>
  </conditionalFormatting>
  <printOptions horizontalCentered="1"/>
  <pageMargins left="0.2" right="0.2" top="0.5" bottom="0.5" header="0.25" footer="0.25"/>
  <pageSetup fitToHeight="2" orientation="landscape" r:id="rId1"/>
  <headerFooter alignWithMargins="0">
    <oddFooter>&amp;L&amp;"Calibri,Bold"CITIZENS' GUIDE TO LOCAL UNIT FINANCES&amp;R&amp;"Calibri,Bold"&amp;A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pane ySplit="1" topLeftCell="A101" activePane="bottomLeft" state="frozen"/>
      <selection activeCell="B69" sqref="B69"/>
      <selection pane="bottomLeft" activeCell="B69" sqref="B69"/>
    </sheetView>
  </sheetViews>
  <sheetFormatPr defaultRowHeight="12"/>
  <cols>
    <col min="1" max="1" width="10.6640625" style="122" customWidth="1"/>
    <col min="2" max="2" width="16.77734375" style="120" customWidth="1"/>
    <col min="3" max="3" width="41.109375" style="120" customWidth="1"/>
    <col min="4" max="4" width="8.88671875" style="121"/>
    <col min="5" max="5" width="11.44140625" style="120" customWidth="1"/>
    <col min="6" max="6" width="23.44140625" style="120" customWidth="1"/>
    <col min="7" max="7" width="13.88671875" style="120" hidden="1" customWidth="1"/>
    <col min="8" max="8" width="16.5546875" style="120" hidden="1" customWidth="1"/>
    <col min="9" max="9" width="13.109375" style="120" hidden="1" customWidth="1"/>
    <col min="10" max="10" width="11.77734375" style="120" customWidth="1"/>
    <col min="11" max="16384" width="8.88671875" style="120"/>
  </cols>
  <sheetData>
    <row r="1" spans="1:10">
      <c r="A1" s="131" t="s">
        <v>302</v>
      </c>
      <c r="B1" s="131" t="s">
        <v>303</v>
      </c>
      <c r="C1" s="131" t="s">
        <v>161</v>
      </c>
      <c r="D1" s="131" t="s">
        <v>304</v>
      </c>
      <c r="E1" s="132" t="s">
        <v>305</v>
      </c>
      <c r="F1" s="132" t="s">
        <v>306</v>
      </c>
      <c r="G1" s="131" t="s">
        <v>307</v>
      </c>
      <c r="H1" s="131" t="s">
        <v>308</v>
      </c>
      <c r="I1" s="131" t="s">
        <v>309</v>
      </c>
      <c r="J1" s="130" t="s">
        <v>478</v>
      </c>
    </row>
    <row r="2" spans="1:10">
      <c r="A2" s="127" t="s">
        <v>310</v>
      </c>
      <c r="B2" s="119" t="s">
        <v>311</v>
      </c>
      <c r="C2" s="119" t="s">
        <v>312</v>
      </c>
      <c r="D2" s="125">
        <v>2017</v>
      </c>
      <c r="E2" s="128">
        <v>87273361.540000007</v>
      </c>
      <c r="F2" s="128">
        <v>27091048.43</v>
      </c>
      <c r="G2" s="128">
        <v>2840628.26</v>
      </c>
      <c r="H2" s="128">
        <v>255647</v>
      </c>
      <c r="I2" s="128">
        <v>117460685.23</v>
      </c>
      <c r="J2" s="123">
        <f t="shared" ref="J2:J33" si="0">E2+F2</f>
        <v>114364409.97</v>
      </c>
    </row>
    <row r="3" spans="1:10">
      <c r="A3" s="127" t="s">
        <v>310</v>
      </c>
      <c r="B3" s="119" t="s">
        <v>313</v>
      </c>
      <c r="C3" s="119" t="s">
        <v>314</v>
      </c>
      <c r="D3" s="125">
        <v>2017</v>
      </c>
      <c r="E3" s="128"/>
      <c r="F3" s="128"/>
      <c r="G3" s="128">
        <v>223819.62</v>
      </c>
      <c r="H3" s="128"/>
      <c r="I3" s="128">
        <v>223819.62</v>
      </c>
      <c r="J3" s="123">
        <f t="shared" si="0"/>
        <v>0</v>
      </c>
    </row>
    <row r="4" spans="1:10">
      <c r="A4" s="127" t="s">
        <v>310</v>
      </c>
      <c r="B4" s="119" t="s">
        <v>315</v>
      </c>
      <c r="C4" s="119" t="s">
        <v>316</v>
      </c>
      <c r="D4" s="125">
        <v>2017</v>
      </c>
      <c r="E4" s="128"/>
      <c r="F4" s="128"/>
      <c r="G4" s="128"/>
      <c r="H4" s="128"/>
      <c r="I4" s="128"/>
      <c r="J4" s="123">
        <f t="shared" si="0"/>
        <v>0</v>
      </c>
    </row>
    <row r="5" spans="1:10">
      <c r="A5" s="127" t="s">
        <v>310</v>
      </c>
      <c r="B5" s="119" t="s">
        <v>315</v>
      </c>
      <c r="C5" s="119" t="s">
        <v>317</v>
      </c>
      <c r="D5" s="125">
        <v>2017</v>
      </c>
      <c r="E5" s="128">
        <v>49643.1</v>
      </c>
      <c r="F5" s="128"/>
      <c r="G5" s="128"/>
      <c r="H5" s="128"/>
      <c r="I5" s="128">
        <v>49643.1</v>
      </c>
      <c r="J5" s="123">
        <f t="shared" si="0"/>
        <v>49643.1</v>
      </c>
    </row>
    <row r="6" spans="1:10">
      <c r="A6" s="127" t="s">
        <v>310</v>
      </c>
      <c r="B6" s="119" t="s">
        <v>318</v>
      </c>
      <c r="C6" s="119" t="s">
        <v>319</v>
      </c>
      <c r="D6" s="125">
        <v>2017</v>
      </c>
      <c r="E6" s="128"/>
      <c r="F6" s="128">
        <v>9494361.1300000008</v>
      </c>
      <c r="G6" s="128"/>
      <c r="H6" s="128"/>
      <c r="I6" s="128">
        <v>9494361.1300000008</v>
      </c>
      <c r="J6" s="123">
        <f t="shared" si="0"/>
        <v>9494361.1300000008</v>
      </c>
    </row>
    <row r="7" spans="1:10">
      <c r="A7" s="127" t="s">
        <v>310</v>
      </c>
      <c r="B7" s="119" t="s">
        <v>320</v>
      </c>
      <c r="C7" s="119" t="s">
        <v>321</v>
      </c>
      <c r="D7" s="125">
        <v>2017</v>
      </c>
      <c r="E7" s="128">
        <v>792259.02</v>
      </c>
      <c r="F7" s="128">
        <v>336000.84</v>
      </c>
      <c r="G7" s="128"/>
      <c r="H7" s="128"/>
      <c r="I7" s="128">
        <v>1128259.8600000001</v>
      </c>
      <c r="J7" s="123">
        <f t="shared" si="0"/>
        <v>1128259.8600000001</v>
      </c>
    </row>
    <row r="8" spans="1:10">
      <c r="A8" s="127" t="s">
        <v>310</v>
      </c>
      <c r="B8" s="119" t="s">
        <v>322</v>
      </c>
      <c r="C8" s="119" t="s">
        <v>323</v>
      </c>
      <c r="D8" s="125">
        <v>2017</v>
      </c>
      <c r="E8" s="128"/>
      <c r="F8" s="128"/>
      <c r="G8" s="128"/>
      <c r="H8" s="128"/>
      <c r="I8" s="128"/>
      <c r="J8" s="123">
        <f t="shared" si="0"/>
        <v>0</v>
      </c>
    </row>
    <row r="9" spans="1:10">
      <c r="A9" s="127" t="s">
        <v>310</v>
      </c>
      <c r="B9" s="129" t="s">
        <v>324</v>
      </c>
      <c r="C9" s="129" t="s">
        <v>325</v>
      </c>
      <c r="D9" s="125">
        <v>2017</v>
      </c>
      <c r="E9" s="128"/>
      <c r="F9" s="128">
        <v>8306</v>
      </c>
      <c r="G9" s="128">
        <v>5935</v>
      </c>
      <c r="H9" s="128"/>
      <c r="I9" s="128">
        <v>14241</v>
      </c>
      <c r="J9" s="123">
        <f t="shared" si="0"/>
        <v>8306</v>
      </c>
    </row>
    <row r="10" spans="1:10">
      <c r="A10" s="127" t="s">
        <v>310</v>
      </c>
      <c r="B10" s="129" t="s">
        <v>326</v>
      </c>
      <c r="C10" s="129" t="s">
        <v>327</v>
      </c>
      <c r="D10" s="125">
        <v>2017</v>
      </c>
      <c r="E10" s="128">
        <v>31690</v>
      </c>
      <c r="F10" s="128">
        <v>811236.9</v>
      </c>
      <c r="G10" s="128"/>
      <c r="H10" s="128"/>
      <c r="I10" s="128">
        <v>842926.9</v>
      </c>
      <c r="J10" s="123">
        <f t="shared" si="0"/>
        <v>842926.9</v>
      </c>
    </row>
    <row r="11" spans="1:10">
      <c r="A11" s="127" t="s">
        <v>310</v>
      </c>
      <c r="B11" s="129" t="s">
        <v>477</v>
      </c>
      <c r="C11" s="129" t="s">
        <v>56</v>
      </c>
      <c r="D11" s="125">
        <v>2017</v>
      </c>
      <c r="E11" s="128"/>
      <c r="F11" s="128"/>
      <c r="G11" s="128"/>
      <c r="H11" s="128"/>
      <c r="I11" s="128"/>
      <c r="J11" s="123">
        <f t="shared" si="0"/>
        <v>0</v>
      </c>
    </row>
    <row r="12" spans="1:10">
      <c r="A12" s="127" t="s">
        <v>310</v>
      </c>
      <c r="B12" s="129" t="s">
        <v>476</v>
      </c>
      <c r="C12" s="129" t="s">
        <v>446</v>
      </c>
      <c r="D12" s="125">
        <v>2017</v>
      </c>
      <c r="E12" s="128"/>
      <c r="F12" s="128">
        <v>1149739.1000000001</v>
      </c>
      <c r="G12" s="128"/>
      <c r="H12" s="128"/>
      <c r="I12" s="128">
        <v>1149739.1000000001</v>
      </c>
      <c r="J12" s="123">
        <f t="shared" si="0"/>
        <v>1149739.1000000001</v>
      </c>
    </row>
    <row r="13" spans="1:10">
      <c r="A13" s="127" t="s">
        <v>310</v>
      </c>
      <c r="B13" s="129" t="s">
        <v>475</v>
      </c>
      <c r="C13" s="129" t="s">
        <v>444</v>
      </c>
      <c r="D13" s="125">
        <v>2017</v>
      </c>
      <c r="E13" s="128"/>
      <c r="F13" s="128"/>
      <c r="G13" s="128"/>
      <c r="H13" s="128"/>
      <c r="I13" s="128"/>
      <c r="J13" s="123">
        <f t="shared" si="0"/>
        <v>0</v>
      </c>
    </row>
    <row r="14" spans="1:10">
      <c r="A14" s="127" t="s">
        <v>310</v>
      </c>
      <c r="B14" s="129" t="s">
        <v>474</v>
      </c>
      <c r="C14" s="129" t="s">
        <v>442</v>
      </c>
      <c r="D14" s="125">
        <v>2017</v>
      </c>
      <c r="E14" s="128"/>
      <c r="F14" s="128"/>
      <c r="G14" s="128"/>
      <c r="H14" s="128"/>
      <c r="I14" s="128"/>
      <c r="J14" s="123">
        <f t="shared" si="0"/>
        <v>0</v>
      </c>
    </row>
    <row r="15" spans="1:10">
      <c r="A15" s="127" t="s">
        <v>310</v>
      </c>
      <c r="B15" s="129" t="s">
        <v>473</v>
      </c>
      <c r="C15" s="129" t="s">
        <v>440</v>
      </c>
      <c r="D15" s="125">
        <v>2017</v>
      </c>
      <c r="E15" s="128"/>
      <c r="F15" s="128">
        <v>10415353.58</v>
      </c>
      <c r="G15" s="128"/>
      <c r="H15" s="128">
        <v>139500260</v>
      </c>
      <c r="I15" s="128">
        <v>149915613.58000001</v>
      </c>
      <c r="J15" s="123">
        <f t="shared" si="0"/>
        <v>10415353.58</v>
      </c>
    </row>
    <row r="16" spans="1:10">
      <c r="A16" s="127" t="s">
        <v>310</v>
      </c>
      <c r="B16" s="129" t="s">
        <v>472</v>
      </c>
      <c r="C16" s="129" t="s">
        <v>438</v>
      </c>
      <c r="D16" s="125">
        <v>2017</v>
      </c>
      <c r="E16" s="128"/>
      <c r="F16" s="128">
        <v>2796120.93</v>
      </c>
      <c r="G16" s="128"/>
      <c r="H16" s="128">
        <v>3863770.54</v>
      </c>
      <c r="I16" s="128">
        <v>6659891.4699999997</v>
      </c>
      <c r="J16" s="123">
        <f t="shared" si="0"/>
        <v>2796120.93</v>
      </c>
    </row>
    <row r="17" spans="1:10">
      <c r="A17" s="127" t="s">
        <v>310</v>
      </c>
      <c r="B17" s="129" t="s">
        <v>471</v>
      </c>
      <c r="C17" s="129" t="s">
        <v>436</v>
      </c>
      <c r="D17" s="125">
        <v>2017</v>
      </c>
      <c r="E17" s="128"/>
      <c r="F17" s="128"/>
      <c r="G17" s="128"/>
      <c r="H17" s="128"/>
      <c r="I17" s="128"/>
      <c r="J17" s="123">
        <f t="shared" si="0"/>
        <v>0</v>
      </c>
    </row>
    <row r="18" spans="1:10">
      <c r="A18" s="127" t="s">
        <v>310</v>
      </c>
      <c r="B18" s="129" t="s">
        <v>470</v>
      </c>
      <c r="C18" s="129" t="s">
        <v>435</v>
      </c>
      <c r="D18" s="125">
        <v>2017</v>
      </c>
      <c r="E18" s="128"/>
      <c r="F18" s="128">
        <v>1422003</v>
      </c>
      <c r="G18" s="128"/>
      <c r="H18" s="128"/>
      <c r="I18" s="128">
        <v>1422003</v>
      </c>
      <c r="J18" s="123">
        <f t="shared" si="0"/>
        <v>1422003</v>
      </c>
    </row>
    <row r="19" spans="1:10">
      <c r="A19" s="127" t="s">
        <v>310</v>
      </c>
      <c r="B19" s="129" t="s">
        <v>470</v>
      </c>
      <c r="C19" s="129" t="s">
        <v>453</v>
      </c>
      <c r="D19" s="125">
        <v>2017</v>
      </c>
      <c r="E19" s="128"/>
      <c r="F19" s="128"/>
      <c r="G19" s="128"/>
      <c r="H19" s="128"/>
      <c r="I19" s="128"/>
      <c r="J19" s="123">
        <f t="shared" si="0"/>
        <v>0</v>
      </c>
    </row>
    <row r="20" spans="1:10">
      <c r="A20" s="127" t="s">
        <v>310</v>
      </c>
      <c r="B20" s="129" t="s">
        <v>470</v>
      </c>
      <c r="C20" s="129" t="s">
        <v>452</v>
      </c>
      <c r="D20" s="125">
        <v>2017</v>
      </c>
      <c r="E20" s="128"/>
      <c r="F20" s="128"/>
      <c r="G20" s="128"/>
      <c r="H20" s="128"/>
      <c r="I20" s="128"/>
      <c r="J20" s="123">
        <f t="shared" si="0"/>
        <v>0</v>
      </c>
    </row>
    <row r="21" spans="1:10">
      <c r="A21" s="127" t="s">
        <v>310</v>
      </c>
      <c r="B21" s="129" t="s">
        <v>470</v>
      </c>
      <c r="C21" s="129" t="s">
        <v>433</v>
      </c>
      <c r="D21" s="125">
        <v>2017</v>
      </c>
      <c r="E21" s="128"/>
      <c r="F21" s="128"/>
      <c r="G21" s="128"/>
      <c r="H21" s="128"/>
      <c r="I21" s="128"/>
      <c r="J21" s="123">
        <f t="shared" si="0"/>
        <v>0</v>
      </c>
    </row>
    <row r="22" spans="1:10">
      <c r="A22" s="127" t="s">
        <v>310</v>
      </c>
      <c r="B22" s="129" t="s">
        <v>470</v>
      </c>
      <c r="C22" s="129" t="s">
        <v>469</v>
      </c>
      <c r="D22" s="125">
        <v>2017</v>
      </c>
      <c r="E22" s="128"/>
      <c r="F22" s="128"/>
      <c r="G22" s="128"/>
      <c r="H22" s="128"/>
      <c r="I22" s="128"/>
      <c r="J22" s="123">
        <f t="shared" si="0"/>
        <v>0</v>
      </c>
    </row>
    <row r="23" spans="1:10">
      <c r="A23" s="127" t="s">
        <v>310</v>
      </c>
      <c r="B23" s="129" t="s">
        <v>468</v>
      </c>
      <c r="C23" s="129" t="s">
        <v>467</v>
      </c>
      <c r="D23" s="125">
        <v>2017</v>
      </c>
      <c r="E23" s="128">
        <v>12083871.41</v>
      </c>
      <c r="F23" s="128"/>
      <c r="G23" s="128"/>
      <c r="H23" s="128"/>
      <c r="I23" s="128">
        <v>12083871.41</v>
      </c>
      <c r="J23" s="123">
        <f t="shared" si="0"/>
        <v>12083871.41</v>
      </c>
    </row>
    <row r="24" spans="1:10">
      <c r="A24" s="127" t="s">
        <v>310</v>
      </c>
      <c r="B24" s="129" t="s">
        <v>466</v>
      </c>
      <c r="C24" s="129" t="s">
        <v>465</v>
      </c>
      <c r="D24" s="125">
        <v>2017</v>
      </c>
      <c r="E24" s="128">
        <v>10477865.58</v>
      </c>
      <c r="F24" s="128">
        <v>1857791.08</v>
      </c>
      <c r="G24" s="128">
        <v>1014</v>
      </c>
      <c r="H24" s="128">
        <v>3016653</v>
      </c>
      <c r="I24" s="128">
        <v>15353323.66</v>
      </c>
      <c r="J24" s="123">
        <f t="shared" si="0"/>
        <v>12335656.66</v>
      </c>
    </row>
    <row r="25" spans="1:10">
      <c r="A25" s="127" t="s">
        <v>310</v>
      </c>
      <c r="B25" s="129" t="s">
        <v>463</v>
      </c>
      <c r="C25" s="129" t="s">
        <v>464</v>
      </c>
      <c r="D25" s="125">
        <v>2017</v>
      </c>
      <c r="E25" s="128">
        <v>166059.1</v>
      </c>
      <c r="F25" s="128">
        <v>51788</v>
      </c>
      <c r="G25" s="128"/>
      <c r="H25" s="128"/>
      <c r="I25" s="128">
        <v>217847.1</v>
      </c>
      <c r="J25" s="123">
        <f t="shared" si="0"/>
        <v>217847.1</v>
      </c>
    </row>
    <row r="26" spans="1:10">
      <c r="A26" s="127" t="s">
        <v>310</v>
      </c>
      <c r="B26" s="129" t="s">
        <v>463</v>
      </c>
      <c r="C26" s="129" t="s">
        <v>462</v>
      </c>
      <c r="D26" s="125">
        <v>2017</v>
      </c>
      <c r="E26" s="128"/>
      <c r="F26" s="128"/>
      <c r="G26" s="128"/>
      <c r="H26" s="128"/>
      <c r="I26" s="128"/>
      <c r="J26" s="123">
        <f t="shared" si="0"/>
        <v>0</v>
      </c>
    </row>
    <row r="27" spans="1:10">
      <c r="A27" s="127" t="s">
        <v>310</v>
      </c>
      <c r="B27" s="129" t="s">
        <v>461</v>
      </c>
      <c r="C27" s="129" t="s">
        <v>446</v>
      </c>
      <c r="D27" s="125">
        <v>2017</v>
      </c>
      <c r="E27" s="128">
        <v>62159.9</v>
      </c>
      <c r="F27" s="128">
        <v>476870.16</v>
      </c>
      <c r="G27" s="128"/>
      <c r="H27" s="128"/>
      <c r="I27" s="128">
        <v>539030.06000000006</v>
      </c>
      <c r="J27" s="123">
        <f t="shared" si="0"/>
        <v>539030.05999999994</v>
      </c>
    </row>
    <row r="28" spans="1:10">
      <c r="A28" s="127" t="s">
        <v>310</v>
      </c>
      <c r="B28" s="129" t="s">
        <v>459</v>
      </c>
      <c r="C28" s="129" t="s">
        <v>460</v>
      </c>
      <c r="D28" s="125">
        <v>2017</v>
      </c>
      <c r="E28" s="128"/>
      <c r="F28" s="128"/>
      <c r="G28" s="128"/>
      <c r="H28" s="128">
        <v>63679529</v>
      </c>
      <c r="I28" s="128">
        <v>63679529</v>
      </c>
      <c r="J28" s="123">
        <f t="shared" si="0"/>
        <v>0</v>
      </c>
    </row>
    <row r="29" spans="1:10">
      <c r="A29" s="127" t="s">
        <v>310</v>
      </c>
      <c r="B29" s="129" t="s">
        <v>459</v>
      </c>
      <c r="C29" s="129" t="s">
        <v>458</v>
      </c>
      <c r="D29" s="125">
        <v>2017</v>
      </c>
      <c r="E29" s="128"/>
      <c r="F29" s="128"/>
      <c r="G29" s="128"/>
      <c r="H29" s="128"/>
      <c r="I29" s="128"/>
      <c r="J29" s="123">
        <f t="shared" si="0"/>
        <v>0</v>
      </c>
    </row>
    <row r="30" spans="1:10">
      <c r="A30" s="127" t="s">
        <v>310</v>
      </c>
      <c r="B30" s="129" t="s">
        <v>457</v>
      </c>
      <c r="C30" s="129" t="s">
        <v>442</v>
      </c>
      <c r="D30" s="125">
        <v>2017</v>
      </c>
      <c r="E30" s="128"/>
      <c r="F30" s="128"/>
      <c r="G30" s="128"/>
      <c r="H30" s="128"/>
      <c r="I30" s="128"/>
      <c r="J30" s="123">
        <f t="shared" si="0"/>
        <v>0</v>
      </c>
    </row>
    <row r="31" spans="1:10">
      <c r="A31" s="127" t="s">
        <v>310</v>
      </c>
      <c r="B31" s="129" t="s">
        <v>456</v>
      </c>
      <c r="C31" s="129" t="s">
        <v>440</v>
      </c>
      <c r="D31" s="125">
        <v>2017</v>
      </c>
      <c r="E31" s="128"/>
      <c r="F31" s="128">
        <v>2360871.1</v>
      </c>
      <c r="G31" s="128"/>
      <c r="H31" s="128"/>
      <c r="I31" s="128">
        <v>2360871.1</v>
      </c>
      <c r="J31" s="123">
        <f t="shared" si="0"/>
        <v>2360871.1</v>
      </c>
    </row>
    <row r="32" spans="1:10">
      <c r="A32" s="127" t="s">
        <v>310</v>
      </c>
      <c r="B32" s="129" t="s">
        <v>455</v>
      </c>
      <c r="C32" s="129" t="s">
        <v>438</v>
      </c>
      <c r="D32" s="125">
        <v>2017</v>
      </c>
      <c r="E32" s="128"/>
      <c r="F32" s="128">
        <v>18724514.739999998</v>
      </c>
      <c r="G32" s="128"/>
      <c r="H32" s="128"/>
      <c r="I32" s="128">
        <v>18724514.739999998</v>
      </c>
      <c r="J32" s="123">
        <f t="shared" si="0"/>
        <v>18724514.739999998</v>
      </c>
    </row>
    <row r="33" spans="1:10">
      <c r="A33" s="127" t="s">
        <v>310</v>
      </c>
      <c r="B33" s="129" t="s">
        <v>454</v>
      </c>
      <c r="C33" s="129" t="s">
        <v>436</v>
      </c>
      <c r="D33" s="125">
        <v>2017</v>
      </c>
      <c r="E33" s="128"/>
      <c r="F33" s="128">
        <v>268900</v>
      </c>
      <c r="G33" s="128"/>
      <c r="H33" s="128"/>
      <c r="I33" s="128">
        <v>268900</v>
      </c>
      <c r="J33" s="123">
        <f t="shared" si="0"/>
        <v>268900</v>
      </c>
    </row>
    <row r="34" spans="1:10">
      <c r="A34" s="127" t="s">
        <v>310</v>
      </c>
      <c r="B34" s="129" t="s">
        <v>451</v>
      </c>
      <c r="C34" s="129" t="s">
        <v>435</v>
      </c>
      <c r="D34" s="125">
        <v>2017</v>
      </c>
      <c r="E34" s="128"/>
      <c r="F34" s="128"/>
      <c r="G34" s="128"/>
      <c r="H34" s="128"/>
      <c r="I34" s="128"/>
      <c r="J34" s="123">
        <f t="shared" ref="J34:J65" si="1">E34+F34</f>
        <v>0</v>
      </c>
    </row>
    <row r="35" spans="1:10">
      <c r="A35" s="127" t="s">
        <v>310</v>
      </c>
      <c r="B35" s="129" t="s">
        <v>451</v>
      </c>
      <c r="C35" s="129" t="s">
        <v>453</v>
      </c>
      <c r="D35" s="125">
        <v>2017</v>
      </c>
      <c r="E35" s="128"/>
      <c r="F35" s="128"/>
      <c r="G35" s="128"/>
      <c r="H35" s="128"/>
      <c r="I35" s="128"/>
      <c r="J35" s="123">
        <f t="shared" si="1"/>
        <v>0</v>
      </c>
    </row>
    <row r="36" spans="1:10">
      <c r="A36" s="127" t="s">
        <v>310</v>
      </c>
      <c r="B36" s="129" t="s">
        <v>451</v>
      </c>
      <c r="C36" s="129" t="s">
        <v>452</v>
      </c>
      <c r="D36" s="125">
        <v>2017</v>
      </c>
      <c r="E36" s="128"/>
      <c r="F36" s="128"/>
      <c r="G36" s="128"/>
      <c r="H36" s="128"/>
      <c r="I36" s="128"/>
      <c r="J36" s="123">
        <f t="shared" si="1"/>
        <v>0</v>
      </c>
    </row>
    <row r="37" spans="1:10">
      <c r="A37" s="127" t="s">
        <v>310</v>
      </c>
      <c r="B37" s="129" t="s">
        <v>451</v>
      </c>
      <c r="C37" s="129" t="s">
        <v>433</v>
      </c>
      <c r="D37" s="125">
        <v>2017</v>
      </c>
      <c r="E37" s="128"/>
      <c r="F37" s="128"/>
      <c r="G37" s="128"/>
      <c r="H37" s="128"/>
      <c r="I37" s="128"/>
      <c r="J37" s="123">
        <f t="shared" si="1"/>
        <v>0</v>
      </c>
    </row>
    <row r="38" spans="1:10">
      <c r="A38" s="127" t="s">
        <v>310</v>
      </c>
      <c r="B38" s="129" t="s">
        <v>450</v>
      </c>
      <c r="C38" s="129" t="s">
        <v>449</v>
      </c>
      <c r="D38" s="125">
        <v>2017</v>
      </c>
      <c r="E38" s="128"/>
      <c r="F38" s="128"/>
      <c r="G38" s="128"/>
      <c r="H38" s="128"/>
      <c r="I38" s="128"/>
      <c r="J38" s="123">
        <f t="shared" si="1"/>
        <v>0</v>
      </c>
    </row>
    <row r="39" spans="1:10">
      <c r="A39" s="127" t="s">
        <v>310</v>
      </c>
      <c r="B39" s="129" t="s">
        <v>448</v>
      </c>
      <c r="C39" s="129" t="s">
        <v>56</v>
      </c>
      <c r="D39" s="125">
        <v>2017</v>
      </c>
      <c r="E39" s="128">
        <v>1487781.54</v>
      </c>
      <c r="F39" s="128">
        <v>422237.15</v>
      </c>
      <c r="G39" s="128"/>
      <c r="H39" s="128">
        <v>2149306.13</v>
      </c>
      <c r="I39" s="128">
        <v>4059324.82</v>
      </c>
      <c r="J39" s="123">
        <f t="shared" si="1"/>
        <v>1910018.69</v>
      </c>
    </row>
    <row r="40" spans="1:10">
      <c r="A40" s="127" t="s">
        <v>310</v>
      </c>
      <c r="B40" s="129" t="s">
        <v>447</v>
      </c>
      <c r="C40" s="129" t="s">
        <v>446</v>
      </c>
      <c r="D40" s="125">
        <v>2017</v>
      </c>
      <c r="E40" s="128"/>
      <c r="F40" s="128"/>
      <c r="G40" s="128"/>
      <c r="H40" s="128"/>
      <c r="I40" s="128"/>
      <c r="J40" s="123">
        <f t="shared" si="1"/>
        <v>0</v>
      </c>
    </row>
    <row r="41" spans="1:10">
      <c r="A41" s="127" t="s">
        <v>310</v>
      </c>
      <c r="B41" s="129" t="s">
        <v>445</v>
      </c>
      <c r="C41" s="129" t="s">
        <v>444</v>
      </c>
      <c r="D41" s="125">
        <v>2017</v>
      </c>
      <c r="E41" s="128"/>
      <c r="F41" s="128"/>
      <c r="G41" s="128"/>
      <c r="H41" s="128"/>
      <c r="I41" s="128"/>
      <c r="J41" s="123">
        <f t="shared" si="1"/>
        <v>0</v>
      </c>
    </row>
    <row r="42" spans="1:10">
      <c r="A42" s="127" t="s">
        <v>310</v>
      </c>
      <c r="B42" s="129" t="s">
        <v>443</v>
      </c>
      <c r="C42" s="129" t="s">
        <v>442</v>
      </c>
      <c r="D42" s="125">
        <v>2017</v>
      </c>
      <c r="E42" s="128"/>
      <c r="F42" s="128"/>
      <c r="G42" s="128"/>
      <c r="H42" s="128"/>
      <c r="I42" s="128"/>
      <c r="J42" s="123">
        <f t="shared" si="1"/>
        <v>0</v>
      </c>
    </row>
    <row r="43" spans="1:10">
      <c r="A43" s="127" t="s">
        <v>310</v>
      </c>
      <c r="B43" s="129" t="s">
        <v>441</v>
      </c>
      <c r="C43" s="129" t="s">
        <v>440</v>
      </c>
      <c r="D43" s="125">
        <v>2017</v>
      </c>
      <c r="E43" s="128"/>
      <c r="F43" s="128"/>
      <c r="G43" s="128"/>
      <c r="H43" s="128"/>
      <c r="I43" s="128"/>
      <c r="J43" s="123">
        <f t="shared" si="1"/>
        <v>0</v>
      </c>
    </row>
    <row r="44" spans="1:10">
      <c r="A44" s="127" t="s">
        <v>310</v>
      </c>
      <c r="B44" s="129" t="s">
        <v>439</v>
      </c>
      <c r="C44" s="129" t="s">
        <v>438</v>
      </c>
      <c r="D44" s="125">
        <v>2017</v>
      </c>
      <c r="E44" s="128"/>
      <c r="F44" s="128"/>
      <c r="G44" s="128"/>
      <c r="H44" s="128"/>
      <c r="I44" s="128"/>
      <c r="J44" s="123">
        <f t="shared" si="1"/>
        <v>0</v>
      </c>
    </row>
    <row r="45" spans="1:10">
      <c r="A45" s="127" t="s">
        <v>310</v>
      </c>
      <c r="B45" s="129" t="s">
        <v>437</v>
      </c>
      <c r="C45" s="129" t="s">
        <v>436</v>
      </c>
      <c r="D45" s="125">
        <v>2017</v>
      </c>
      <c r="E45" s="128"/>
      <c r="F45" s="128"/>
      <c r="G45" s="128"/>
      <c r="H45" s="128"/>
      <c r="I45" s="128"/>
      <c r="J45" s="123">
        <f t="shared" si="1"/>
        <v>0</v>
      </c>
    </row>
    <row r="46" spans="1:10">
      <c r="A46" s="127" t="s">
        <v>310</v>
      </c>
      <c r="B46" s="129" t="s">
        <v>432</v>
      </c>
      <c r="C46" s="129" t="s">
        <v>435</v>
      </c>
      <c r="D46" s="125">
        <v>2017</v>
      </c>
      <c r="E46" s="128"/>
      <c r="F46" s="128"/>
      <c r="G46" s="128"/>
      <c r="H46" s="128"/>
      <c r="I46" s="128"/>
      <c r="J46" s="123">
        <f t="shared" si="1"/>
        <v>0</v>
      </c>
    </row>
    <row r="47" spans="1:10">
      <c r="A47" s="127" t="s">
        <v>310</v>
      </c>
      <c r="B47" s="129" t="s">
        <v>432</v>
      </c>
      <c r="C47" s="129" t="s">
        <v>434</v>
      </c>
      <c r="D47" s="125">
        <v>2017</v>
      </c>
      <c r="E47" s="128"/>
      <c r="F47" s="128"/>
      <c r="G47" s="128"/>
      <c r="H47" s="128"/>
      <c r="I47" s="128"/>
      <c r="J47" s="123">
        <f t="shared" si="1"/>
        <v>0</v>
      </c>
    </row>
    <row r="48" spans="1:10">
      <c r="A48" s="127" t="s">
        <v>310</v>
      </c>
      <c r="B48" s="129" t="s">
        <v>432</v>
      </c>
      <c r="C48" s="129" t="s">
        <v>433</v>
      </c>
      <c r="D48" s="125">
        <v>2017</v>
      </c>
      <c r="E48" s="128"/>
      <c r="F48" s="128"/>
      <c r="G48" s="128"/>
      <c r="H48" s="128"/>
      <c r="I48" s="128"/>
      <c r="J48" s="123">
        <f t="shared" si="1"/>
        <v>0</v>
      </c>
    </row>
    <row r="49" spans="1:10">
      <c r="A49" s="127" t="s">
        <v>310</v>
      </c>
      <c r="B49" s="129" t="s">
        <v>432</v>
      </c>
      <c r="C49" s="129" t="s">
        <v>431</v>
      </c>
      <c r="D49" s="125">
        <v>2017</v>
      </c>
      <c r="E49" s="128"/>
      <c r="F49" s="128"/>
      <c r="G49" s="128"/>
      <c r="H49" s="128"/>
      <c r="I49" s="128"/>
      <c r="J49" s="123">
        <f t="shared" si="1"/>
        <v>0</v>
      </c>
    </row>
    <row r="50" spans="1:10">
      <c r="A50" s="127" t="s">
        <v>310</v>
      </c>
      <c r="B50" s="129" t="s">
        <v>430</v>
      </c>
      <c r="C50" s="129" t="s">
        <v>429</v>
      </c>
      <c r="D50" s="125">
        <v>2017</v>
      </c>
      <c r="E50" s="128"/>
      <c r="F50" s="128"/>
      <c r="G50" s="128"/>
      <c r="H50" s="128"/>
      <c r="I50" s="128"/>
      <c r="J50" s="123">
        <f t="shared" si="1"/>
        <v>0</v>
      </c>
    </row>
    <row r="51" spans="1:10">
      <c r="A51" s="127" t="s">
        <v>310</v>
      </c>
      <c r="B51" s="129" t="s">
        <v>425</v>
      </c>
      <c r="C51" s="129" t="s">
        <v>428</v>
      </c>
      <c r="D51" s="125">
        <v>2017</v>
      </c>
      <c r="E51" s="128"/>
      <c r="F51" s="128"/>
      <c r="G51" s="128"/>
      <c r="H51" s="128"/>
      <c r="I51" s="128"/>
      <c r="J51" s="123">
        <f t="shared" si="1"/>
        <v>0</v>
      </c>
    </row>
    <row r="52" spans="1:10">
      <c r="A52" s="127" t="s">
        <v>310</v>
      </c>
      <c r="B52" s="129" t="s">
        <v>425</v>
      </c>
      <c r="C52" s="129" t="s">
        <v>427</v>
      </c>
      <c r="D52" s="125">
        <v>2017</v>
      </c>
      <c r="E52" s="128">
        <v>1655471.44</v>
      </c>
      <c r="F52" s="128">
        <v>468.18</v>
      </c>
      <c r="G52" s="128"/>
      <c r="H52" s="128"/>
      <c r="I52" s="128">
        <v>1655939.62</v>
      </c>
      <c r="J52" s="123">
        <f t="shared" si="1"/>
        <v>1655939.6199999999</v>
      </c>
    </row>
    <row r="53" spans="1:10">
      <c r="A53" s="127" t="s">
        <v>310</v>
      </c>
      <c r="B53" s="129" t="s">
        <v>425</v>
      </c>
      <c r="C53" s="129" t="s">
        <v>243</v>
      </c>
      <c r="D53" s="125">
        <v>2017</v>
      </c>
      <c r="E53" s="128">
        <v>148221.03</v>
      </c>
      <c r="F53" s="128"/>
      <c r="G53" s="128"/>
      <c r="H53" s="128"/>
      <c r="I53" s="128">
        <v>148221.03</v>
      </c>
      <c r="J53" s="123">
        <f t="shared" si="1"/>
        <v>148221.03</v>
      </c>
    </row>
    <row r="54" spans="1:10">
      <c r="A54" s="127" t="s">
        <v>310</v>
      </c>
      <c r="B54" s="129" t="s">
        <v>425</v>
      </c>
      <c r="C54" s="129" t="s">
        <v>426</v>
      </c>
      <c r="D54" s="125">
        <v>2017</v>
      </c>
      <c r="E54" s="128">
        <v>5873245.7300000004</v>
      </c>
      <c r="F54" s="128">
        <v>564817.05000000005</v>
      </c>
      <c r="G54" s="128"/>
      <c r="H54" s="128"/>
      <c r="I54" s="128">
        <v>6438062.7800000003</v>
      </c>
      <c r="J54" s="123">
        <f t="shared" si="1"/>
        <v>6438062.7800000003</v>
      </c>
    </row>
    <row r="55" spans="1:10">
      <c r="A55" s="127" t="s">
        <v>310</v>
      </c>
      <c r="B55" s="129" t="s">
        <v>425</v>
      </c>
      <c r="C55" s="129" t="s">
        <v>424</v>
      </c>
      <c r="D55" s="125">
        <v>2017</v>
      </c>
      <c r="E55" s="128">
        <v>4316898.95</v>
      </c>
      <c r="F55" s="128">
        <v>3292045.52</v>
      </c>
      <c r="G55" s="128"/>
      <c r="H55" s="128"/>
      <c r="I55" s="128">
        <v>7608944.4699999997</v>
      </c>
      <c r="J55" s="123">
        <f t="shared" si="1"/>
        <v>7608944.4700000007</v>
      </c>
    </row>
    <row r="56" spans="1:10">
      <c r="A56" s="127" t="s">
        <v>310</v>
      </c>
      <c r="B56" s="129" t="s">
        <v>422</v>
      </c>
      <c r="C56" s="129" t="s">
        <v>423</v>
      </c>
      <c r="D56" s="125">
        <v>2017</v>
      </c>
      <c r="E56" s="128"/>
      <c r="F56" s="128"/>
      <c r="G56" s="128"/>
      <c r="H56" s="128"/>
      <c r="I56" s="128"/>
      <c r="J56" s="123">
        <f t="shared" si="1"/>
        <v>0</v>
      </c>
    </row>
    <row r="57" spans="1:10">
      <c r="A57" s="127" t="s">
        <v>310</v>
      </c>
      <c r="B57" s="129" t="s">
        <v>422</v>
      </c>
      <c r="C57" s="129" t="s">
        <v>380</v>
      </c>
      <c r="D57" s="125">
        <v>2017</v>
      </c>
      <c r="E57" s="128">
        <v>4187683.68</v>
      </c>
      <c r="F57" s="128">
        <v>11869895.49</v>
      </c>
      <c r="G57" s="128"/>
      <c r="H57" s="128"/>
      <c r="I57" s="128">
        <v>16057579.17</v>
      </c>
      <c r="J57" s="123">
        <f t="shared" si="1"/>
        <v>16057579.17</v>
      </c>
    </row>
    <row r="58" spans="1:10">
      <c r="A58" s="127" t="s">
        <v>310</v>
      </c>
      <c r="B58" s="129" t="s">
        <v>422</v>
      </c>
      <c r="C58" s="129" t="s">
        <v>421</v>
      </c>
      <c r="D58" s="125">
        <v>2017</v>
      </c>
      <c r="E58" s="128">
        <v>7046059.75</v>
      </c>
      <c r="F58" s="128">
        <v>674481.4</v>
      </c>
      <c r="G58" s="128">
        <v>6027143.5199999996</v>
      </c>
      <c r="H58" s="128">
        <v>15527</v>
      </c>
      <c r="I58" s="128">
        <v>13763211.67</v>
      </c>
      <c r="J58" s="123">
        <f t="shared" si="1"/>
        <v>7720541.1500000004</v>
      </c>
    </row>
    <row r="59" spans="1:10">
      <c r="A59" s="127" t="s">
        <v>310</v>
      </c>
      <c r="B59" s="129" t="s">
        <v>419</v>
      </c>
      <c r="C59" s="129" t="s">
        <v>343</v>
      </c>
      <c r="D59" s="125">
        <v>2017</v>
      </c>
      <c r="E59" s="128">
        <v>2133903.0699999998</v>
      </c>
      <c r="F59" s="128"/>
      <c r="G59" s="128"/>
      <c r="H59" s="128"/>
      <c r="I59" s="128">
        <v>2133903.0699999998</v>
      </c>
      <c r="J59" s="123">
        <f t="shared" si="1"/>
        <v>2133903.0699999998</v>
      </c>
    </row>
    <row r="60" spans="1:10">
      <c r="A60" s="127" t="s">
        <v>310</v>
      </c>
      <c r="B60" s="129" t="s">
        <v>419</v>
      </c>
      <c r="C60" s="129" t="s">
        <v>420</v>
      </c>
      <c r="D60" s="125">
        <v>2017</v>
      </c>
      <c r="E60" s="128"/>
      <c r="F60" s="128"/>
      <c r="G60" s="128"/>
      <c r="H60" s="128"/>
      <c r="I60" s="128"/>
      <c r="J60" s="123">
        <f t="shared" si="1"/>
        <v>0</v>
      </c>
    </row>
    <row r="61" spans="1:10">
      <c r="A61" s="127" t="s">
        <v>310</v>
      </c>
      <c r="B61" s="129" t="s">
        <v>419</v>
      </c>
      <c r="C61" s="129" t="s">
        <v>418</v>
      </c>
      <c r="D61" s="125">
        <v>2017</v>
      </c>
      <c r="E61" s="128">
        <v>1287641.1000000001</v>
      </c>
      <c r="F61" s="128">
        <v>39150</v>
      </c>
      <c r="G61" s="128">
        <v>48053034.200000003</v>
      </c>
      <c r="H61" s="128">
        <v>30109180</v>
      </c>
      <c r="I61" s="128">
        <v>79489005.299999997</v>
      </c>
      <c r="J61" s="123">
        <f t="shared" si="1"/>
        <v>1326791.1000000001</v>
      </c>
    </row>
    <row r="62" spans="1:10">
      <c r="A62" s="127" t="s">
        <v>310</v>
      </c>
      <c r="B62" s="129" t="s">
        <v>417</v>
      </c>
      <c r="C62" s="129" t="s">
        <v>416</v>
      </c>
      <c r="D62" s="125">
        <v>2017</v>
      </c>
      <c r="E62" s="128">
        <v>195724.33</v>
      </c>
      <c r="F62" s="128">
        <v>629723.32999999996</v>
      </c>
      <c r="G62" s="128">
        <v>450</v>
      </c>
      <c r="H62" s="128"/>
      <c r="I62" s="128">
        <v>825897.66</v>
      </c>
      <c r="J62" s="123">
        <f t="shared" si="1"/>
        <v>825447.65999999992</v>
      </c>
    </row>
    <row r="63" spans="1:10">
      <c r="A63" s="127" t="s">
        <v>310</v>
      </c>
      <c r="B63" s="129" t="s">
        <v>415</v>
      </c>
      <c r="C63" s="129" t="s">
        <v>414</v>
      </c>
      <c r="D63" s="125">
        <v>2017</v>
      </c>
      <c r="E63" s="128">
        <v>505737.05</v>
      </c>
      <c r="F63" s="128">
        <v>220409.3</v>
      </c>
      <c r="G63" s="128">
        <v>803268.69</v>
      </c>
      <c r="H63" s="128">
        <v>260749.73</v>
      </c>
      <c r="I63" s="128">
        <v>1790164.77</v>
      </c>
      <c r="J63" s="123">
        <f t="shared" si="1"/>
        <v>726146.35</v>
      </c>
    </row>
    <row r="64" spans="1:10">
      <c r="A64" s="127" t="s">
        <v>310</v>
      </c>
      <c r="B64" s="129" t="s">
        <v>413</v>
      </c>
      <c r="C64" s="129" t="s">
        <v>412</v>
      </c>
      <c r="D64" s="125">
        <v>2017</v>
      </c>
      <c r="E64" s="128">
        <v>3576201.32</v>
      </c>
      <c r="F64" s="128">
        <v>9826901.0700000003</v>
      </c>
      <c r="G64" s="128">
        <v>7132103.6299999999</v>
      </c>
      <c r="H64" s="128"/>
      <c r="I64" s="128">
        <v>20535206.02</v>
      </c>
      <c r="J64" s="123">
        <f t="shared" si="1"/>
        <v>13403102.390000001</v>
      </c>
    </row>
    <row r="65" spans="1:10">
      <c r="A65" s="127" t="s">
        <v>310</v>
      </c>
      <c r="B65" s="129" t="s">
        <v>411</v>
      </c>
      <c r="C65" s="129" t="s">
        <v>410</v>
      </c>
      <c r="D65" s="125">
        <v>2017</v>
      </c>
      <c r="E65" s="128"/>
      <c r="F65" s="128"/>
      <c r="G65" s="128"/>
      <c r="H65" s="128">
        <v>18071</v>
      </c>
      <c r="I65" s="128">
        <v>18071</v>
      </c>
      <c r="J65" s="123">
        <f t="shared" si="1"/>
        <v>0</v>
      </c>
    </row>
    <row r="66" spans="1:10">
      <c r="A66" s="127" t="s">
        <v>310</v>
      </c>
      <c r="B66" s="129" t="s">
        <v>409</v>
      </c>
      <c r="C66" s="129" t="s">
        <v>408</v>
      </c>
      <c r="D66" s="125">
        <v>2017</v>
      </c>
      <c r="E66" s="128"/>
      <c r="F66" s="128"/>
      <c r="G66" s="128">
        <v>877059</v>
      </c>
      <c r="H66" s="128">
        <v>217381.43</v>
      </c>
      <c r="I66" s="128">
        <v>1094440.43</v>
      </c>
      <c r="J66" s="123">
        <f t="shared" ref="J66:J97" si="2">E66+F66</f>
        <v>0</v>
      </c>
    </row>
    <row r="67" spans="1:10">
      <c r="A67" s="127" t="s">
        <v>310</v>
      </c>
      <c r="B67" s="129" t="s">
        <v>407</v>
      </c>
      <c r="C67" s="129" t="s">
        <v>406</v>
      </c>
      <c r="D67" s="125">
        <v>2017</v>
      </c>
      <c r="E67" s="128">
        <v>136459.26999999999</v>
      </c>
      <c r="F67" s="128">
        <v>213465</v>
      </c>
      <c r="G67" s="128">
        <v>30227.09</v>
      </c>
      <c r="H67" s="128">
        <v>186472</v>
      </c>
      <c r="I67" s="128">
        <v>566623.36</v>
      </c>
      <c r="J67" s="123">
        <f t="shared" si="2"/>
        <v>349924.27</v>
      </c>
    </row>
    <row r="68" spans="1:10">
      <c r="A68" s="127" t="s">
        <v>310</v>
      </c>
      <c r="B68" s="129" t="s">
        <v>405</v>
      </c>
      <c r="C68" s="129" t="s">
        <v>404</v>
      </c>
      <c r="D68" s="125">
        <v>2017</v>
      </c>
      <c r="E68" s="128">
        <v>1192401.6299999999</v>
      </c>
      <c r="F68" s="128">
        <v>2451213.14</v>
      </c>
      <c r="G68" s="128">
        <v>547428.80000000005</v>
      </c>
      <c r="H68" s="128">
        <v>812.94</v>
      </c>
      <c r="I68" s="128">
        <v>4191856.51</v>
      </c>
      <c r="J68" s="123">
        <f t="shared" si="2"/>
        <v>3643614.77</v>
      </c>
    </row>
    <row r="69" spans="1:10">
      <c r="A69" s="127" t="s">
        <v>310</v>
      </c>
      <c r="B69" s="129" t="s">
        <v>403</v>
      </c>
      <c r="C69" s="129" t="s">
        <v>362</v>
      </c>
      <c r="D69" s="125">
        <v>2017</v>
      </c>
      <c r="E69" s="128"/>
      <c r="F69" s="128"/>
      <c r="G69" s="128"/>
      <c r="H69" s="128"/>
      <c r="I69" s="128"/>
      <c r="J69" s="123">
        <f t="shared" si="2"/>
        <v>0</v>
      </c>
    </row>
    <row r="70" spans="1:10">
      <c r="A70" s="127" t="s">
        <v>310</v>
      </c>
      <c r="B70" s="129" t="s">
        <v>402</v>
      </c>
      <c r="C70" s="129" t="s">
        <v>401</v>
      </c>
      <c r="D70" s="125">
        <v>2017</v>
      </c>
      <c r="E70" s="128">
        <v>3615919.63</v>
      </c>
      <c r="F70" s="128">
        <v>30993440.59</v>
      </c>
      <c r="G70" s="128">
        <v>1063679.46</v>
      </c>
      <c r="H70" s="128">
        <v>10081564.130000001</v>
      </c>
      <c r="I70" s="128">
        <v>45754603.810000002</v>
      </c>
      <c r="J70" s="123">
        <f t="shared" si="2"/>
        <v>34609360.219999999</v>
      </c>
    </row>
    <row r="71" spans="1:10">
      <c r="A71" s="127" t="s">
        <v>310</v>
      </c>
      <c r="B71" s="129" t="s">
        <v>400</v>
      </c>
      <c r="C71" s="129" t="s">
        <v>399</v>
      </c>
      <c r="D71" s="125">
        <v>2017</v>
      </c>
      <c r="E71" s="128"/>
      <c r="F71" s="128"/>
      <c r="G71" s="128"/>
      <c r="H71" s="128"/>
      <c r="I71" s="128"/>
      <c r="J71" s="123">
        <f t="shared" si="2"/>
        <v>0</v>
      </c>
    </row>
    <row r="72" spans="1:10">
      <c r="A72" s="127" t="s">
        <v>310</v>
      </c>
      <c r="B72" s="129" t="s">
        <v>398</v>
      </c>
      <c r="C72" s="129" t="s">
        <v>333</v>
      </c>
      <c r="D72" s="125">
        <v>2017</v>
      </c>
      <c r="E72" s="128"/>
      <c r="F72" s="128"/>
      <c r="G72" s="128"/>
      <c r="H72" s="128">
        <v>197826108</v>
      </c>
      <c r="I72" s="128">
        <v>197826108</v>
      </c>
      <c r="J72" s="123">
        <f t="shared" si="2"/>
        <v>0</v>
      </c>
    </row>
    <row r="73" spans="1:10">
      <c r="A73" s="127" t="s">
        <v>310</v>
      </c>
      <c r="B73" s="129" t="s">
        <v>397</v>
      </c>
      <c r="C73" s="129" t="s">
        <v>396</v>
      </c>
      <c r="D73" s="125">
        <v>2017</v>
      </c>
      <c r="E73" s="128">
        <v>14262781.779999999</v>
      </c>
      <c r="F73" s="128">
        <v>35853601.200000003</v>
      </c>
      <c r="G73" s="128"/>
      <c r="H73" s="128"/>
      <c r="I73" s="128">
        <v>50116382.979999997</v>
      </c>
      <c r="J73" s="123">
        <f t="shared" si="2"/>
        <v>50116382.980000004</v>
      </c>
    </row>
    <row r="74" spans="1:10">
      <c r="A74" s="127" t="s">
        <v>310</v>
      </c>
      <c r="B74" s="120" t="s">
        <v>395</v>
      </c>
      <c r="C74" s="120" t="s">
        <v>394</v>
      </c>
      <c r="D74" s="125">
        <v>2017</v>
      </c>
      <c r="E74" s="124">
        <v>954368</v>
      </c>
      <c r="F74" s="124"/>
      <c r="G74" s="124"/>
      <c r="H74" s="124"/>
      <c r="I74" s="124">
        <v>954368</v>
      </c>
      <c r="J74" s="123">
        <f t="shared" si="2"/>
        <v>954368</v>
      </c>
    </row>
    <row r="75" spans="1:10">
      <c r="A75" s="127" t="s">
        <v>310</v>
      </c>
      <c r="B75" s="120" t="s">
        <v>393</v>
      </c>
      <c r="C75" s="120" t="s">
        <v>238</v>
      </c>
      <c r="D75" s="125">
        <v>2017</v>
      </c>
      <c r="E75" s="124"/>
      <c r="F75" s="124"/>
      <c r="G75" s="124"/>
      <c r="H75" s="124"/>
      <c r="I75" s="124"/>
      <c r="J75" s="123">
        <f t="shared" si="2"/>
        <v>0</v>
      </c>
    </row>
    <row r="76" spans="1:10">
      <c r="A76" s="127" t="s">
        <v>310</v>
      </c>
      <c r="B76" s="120" t="s">
        <v>392</v>
      </c>
      <c r="C76" s="120" t="s">
        <v>391</v>
      </c>
      <c r="D76" s="125">
        <v>2017</v>
      </c>
      <c r="E76" s="124">
        <v>1283574</v>
      </c>
      <c r="F76" s="124"/>
      <c r="G76" s="124"/>
      <c r="H76" s="124"/>
      <c r="I76" s="124">
        <v>1283574</v>
      </c>
      <c r="J76" s="123">
        <f t="shared" si="2"/>
        <v>1283574</v>
      </c>
    </row>
    <row r="77" spans="1:10">
      <c r="A77" s="127" t="s">
        <v>310</v>
      </c>
      <c r="B77" s="120" t="s">
        <v>390</v>
      </c>
      <c r="C77" s="120" t="s">
        <v>240</v>
      </c>
      <c r="D77" s="125">
        <v>2017</v>
      </c>
      <c r="E77" s="124">
        <v>1149747</v>
      </c>
      <c r="F77" s="124"/>
      <c r="G77" s="124"/>
      <c r="H77" s="124"/>
      <c r="I77" s="124">
        <v>1149747</v>
      </c>
      <c r="J77" s="123">
        <f t="shared" si="2"/>
        <v>1149747</v>
      </c>
    </row>
    <row r="78" spans="1:10">
      <c r="A78" s="127" t="s">
        <v>310</v>
      </c>
      <c r="B78" s="120" t="s">
        <v>389</v>
      </c>
      <c r="C78" s="120" t="s">
        <v>388</v>
      </c>
      <c r="D78" s="125">
        <v>2017</v>
      </c>
      <c r="E78" s="124">
        <v>1442278</v>
      </c>
      <c r="F78" s="124">
        <v>168274.5</v>
      </c>
      <c r="G78" s="124"/>
      <c r="H78" s="124"/>
      <c r="I78" s="124">
        <v>1610553</v>
      </c>
      <c r="J78" s="123">
        <f t="shared" si="2"/>
        <v>1610552.5</v>
      </c>
    </row>
    <row r="79" spans="1:10">
      <c r="A79" s="127" t="s">
        <v>310</v>
      </c>
      <c r="B79" s="120" t="s">
        <v>387</v>
      </c>
      <c r="C79" s="120" t="s">
        <v>242</v>
      </c>
      <c r="D79" s="125">
        <v>2017</v>
      </c>
      <c r="E79" s="124">
        <v>2218042</v>
      </c>
      <c r="F79" s="124">
        <v>96219.31</v>
      </c>
      <c r="G79" s="124"/>
      <c r="H79" s="124"/>
      <c r="I79" s="124">
        <v>2314261</v>
      </c>
      <c r="J79" s="123">
        <f t="shared" si="2"/>
        <v>2314261.31</v>
      </c>
    </row>
    <row r="80" spans="1:10">
      <c r="A80" s="127" t="s">
        <v>310</v>
      </c>
      <c r="B80" s="120">
        <v>262</v>
      </c>
      <c r="C80" s="120" t="s">
        <v>243</v>
      </c>
      <c r="D80" s="125">
        <v>2017</v>
      </c>
      <c r="E80" s="124">
        <v>584235.30000000005</v>
      </c>
      <c r="F80" s="124"/>
      <c r="G80" s="124"/>
      <c r="H80" s="124"/>
      <c r="I80" s="124">
        <v>584235.30000000005</v>
      </c>
      <c r="J80" s="123">
        <f t="shared" si="2"/>
        <v>584235.30000000005</v>
      </c>
    </row>
    <row r="81" spans="1:10">
      <c r="A81" s="127" t="s">
        <v>310</v>
      </c>
      <c r="B81" s="120" t="s">
        <v>386</v>
      </c>
      <c r="C81" s="120" t="s">
        <v>385</v>
      </c>
      <c r="D81" s="125">
        <v>2017</v>
      </c>
      <c r="E81" s="124">
        <v>7717089</v>
      </c>
      <c r="F81" s="124">
        <v>954374.3</v>
      </c>
      <c r="G81" s="124">
        <v>637422.19999999995</v>
      </c>
      <c r="H81" s="124"/>
      <c r="I81" s="124">
        <v>9308885</v>
      </c>
      <c r="J81" s="123">
        <f t="shared" si="2"/>
        <v>8671463.3000000007</v>
      </c>
    </row>
    <row r="82" spans="1:10">
      <c r="A82" s="127" t="s">
        <v>310</v>
      </c>
      <c r="B82" s="120">
        <v>265</v>
      </c>
      <c r="C82" s="120" t="s">
        <v>384</v>
      </c>
      <c r="D82" s="125">
        <v>2017</v>
      </c>
      <c r="E82" s="124">
        <v>14831162</v>
      </c>
      <c r="F82" s="124">
        <v>670454.30000000005</v>
      </c>
      <c r="G82" s="124"/>
      <c r="H82" s="124"/>
      <c r="I82" s="124">
        <v>15501616</v>
      </c>
      <c r="J82" s="123">
        <f t="shared" si="2"/>
        <v>15501616.300000001</v>
      </c>
    </row>
    <row r="83" spans="1:10">
      <c r="A83" s="127" t="s">
        <v>310</v>
      </c>
      <c r="B83" s="120" t="s">
        <v>383</v>
      </c>
      <c r="C83" s="120" t="s">
        <v>382</v>
      </c>
      <c r="D83" s="125">
        <v>2017</v>
      </c>
      <c r="E83" s="124">
        <v>28329582</v>
      </c>
      <c r="F83" s="124">
        <v>13540933</v>
      </c>
      <c r="G83" s="124"/>
      <c r="H83" s="124"/>
      <c r="I83" s="124">
        <v>41870515</v>
      </c>
      <c r="J83" s="123">
        <f t="shared" si="2"/>
        <v>41870515</v>
      </c>
    </row>
    <row r="84" spans="1:10">
      <c r="A84" s="127" t="s">
        <v>310</v>
      </c>
      <c r="B84" s="120" t="s">
        <v>381</v>
      </c>
      <c r="C84" s="120" t="s">
        <v>380</v>
      </c>
      <c r="D84" s="125">
        <v>2017</v>
      </c>
      <c r="E84" s="124">
        <v>22533023</v>
      </c>
      <c r="F84" s="124">
        <v>13650575</v>
      </c>
      <c r="G84" s="124"/>
      <c r="H84" s="124"/>
      <c r="I84" s="124">
        <v>36183597</v>
      </c>
      <c r="J84" s="123">
        <f t="shared" si="2"/>
        <v>36183598</v>
      </c>
    </row>
    <row r="85" spans="1:10">
      <c r="A85" s="127" t="s">
        <v>310</v>
      </c>
      <c r="B85" s="120" t="s">
        <v>379</v>
      </c>
      <c r="C85" s="120" t="s">
        <v>249</v>
      </c>
      <c r="D85" s="125">
        <v>2017</v>
      </c>
      <c r="E85" s="124"/>
      <c r="F85" s="124">
        <v>329158</v>
      </c>
      <c r="G85" s="124"/>
      <c r="H85" s="124"/>
      <c r="I85" s="124">
        <v>329158</v>
      </c>
      <c r="J85" s="123">
        <f t="shared" si="2"/>
        <v>329158</v>
      </c>
    </row>
    <row r="86" spans="1:10">
      <c r="A86" s="127" t="s">
        <v>310</v>
      </c>
      <c r="B86" s="120">
        <v>345</v>
      </c>
      <c r="C86" s="120" t="s">
        <v>378</v>
      </c>
      <c r="D86" s="125">
        <v>2017</v>
      </c>
      <c r="E86" s="124"/>
      <c r="F86" s="124"/>
      <c r="G86" s="124"/>
      <c r="H86" s="124"/>
      <c r="I86" s="124"/>
      <c r="J86" s="123">
        <f t="shared" si="2"/>
        <v>0</v>
      </c>
    </row>
    <row r="87" spans="1:10">
      <c r="A87" s="127" t="s">
        <v>310</v>
      </c>
      <c r="B87" s="120" t="s">
        <v>377</v>
      </c>
      <c r="C87" s="120" t="s">
        <v>376</v>
      </c>
      <c r="D87" s="125">
        <v>2017</v>
      </c>
      <c r="E87" s="124"/>
      <c r="F87" s="124"/>
      <c r="G87" s="124"/>
      <c r="H87" s="124"/>
      <c r="I87" s="124"/>
      <c r="J87" s="123">
        <f t="shared" si="2"/>
        <v>0</v>
      </c>
    </row>
    <row r="88" spans="1:10">
      <c r="A88" s="127" t="s">
        <v>310</v>
      </c>
      <c r="B88" s="120" t="s">
        <v>375</v>
      </c>
      <c r="C88" s="120" t="s">
        <v>374</v>
      </c>
      <c r="D88" s="125">
        <v>2017</v>
      </c>
      <c r="E88" s="124">
        <v>34257294</v>
      </c>
      <c r="F88" s="124">
        <v>3121609</v>
      </c>
      <c r="G88" s="124"/>
      <c r="H88" s="124"/>
      <c r="I88" s="124">
        <v>37378903</v>
      </c>
      <c r="J88" s="123">
        <f t="shared" si="2"/>
        <v>37378903</v>
      </c>
    </row>
    <row r="89" spans="1:10">
      <c r="A89" s="127" t="s">
        <v>310</v>
      </c>
      <c r="B89" s="120" t="s">
        <v>373</v>
      </c>
      <c r="C89" s="120" t="s">
        <v>372</v>
      </c>
      <c r="D89" s="125">
        <v>2017</v>
      </c>
      <c r="E89" s="124"/>
      <c r="F89" s="124"/>
      <c r="G89" s="124"/>
      <c r="H89" s="124"/>
      <c r="I89" s="124"/>
      <c r="J89" s="123">
        <f t="shared" si="2"/>
        <v>0</v>
      </c>
    </row>
    <row r="90" spans="1:10">
      <c r="A90" s="127" t="s">
        <v>310</v>
      </c>
      <c r="B90" s="120" t="s">
        <v>371</v>
      </c>
      <c r="C90" s="120" t="s">
        <v>370</v>
      </c>
      <c r="D90" s="125">
        <v>2017</v>
      </c>
      <c r="E90" s="124"/>
      <c r="F90" s="124">
        <v>2327450</v>
      </c>
      <c r="G90" s="124"/>
      <c r="H90" s="124"/>
      <c r="I90" s="124">
        <v>2327450</v>
      </c>
      <c r="J90" s="123">
        <f t="shared" si="2"/>
        <v>2327450</v>
      </c>
    </row>
    <row r="91" spans="1:10">
      <c r="A91" s="127" t="s">
        <v>310</v>
      </c>
      <c r="B91" s="120" t="s">
        <v>369</v>
      </c>
      <c r="C91" s="120" t="s">
        <v>368</v>
      </c>
      <c r="D91" s="125">
        <v>2017</v>
      </c>
      <c r="E91" s="124"/>
      <c r="F91" s="124">
        <v>20884188</v>
      </c>
      <c r="G91" s="124"/>
      <c r="H91" s="124"/>
      <c r="I91" s="124">
        <v>20884188</v>
      </c>
      <c r="J91" s="123">
        <f t="shared" si="2"/>
        <v>20884188</v>
      </c>
    </row>
    <row r="92" spans="1:10">
      <c r="A92" s="127" t="s">
        <v>310</v>
      </c>
      <c r="B92" s="120" t="s">
        <v>367</v>
      </c>
      <c r="C92" s="120" t="s">
        <v>366</v>
      </c>
      <c r="D92" s="125">
        <v>2017</v>
      </c>
      <c r="E92" s="124">
        <v>1496373</v>
      </c>
      <c r="F92" s="124">
        <v>426543.8</v>
      </c>
      <c r="G92" s="124"/>
      <c r="H92" s="124"/>
      <c r="I92" s="124">
        <v>1922917</v>
      </c>
      <c r="J92" s="123">
        <f t="shared" si="2"/>
        <v>1922916.8</v>
      </c>
    </row>
    <row r="93" spans="1:10">
      <c r="A93" s="127" t="s">
        <v>310</v>
      </c>
      <c r="B93" s="120" t="s">
        <v>365</v>
      </c>
      <c r="C93" s="120" t="s">
        <v>265</v>
      </c>
      <c r="D93" s="125">
        <v>2017</v>
      </c>
      <c r="E93" s="124"/>
      <c r="F93" s="124"/>
      <c r="G93" s="124"/>
      <c r="H93" s="124"/>
      <c r="I93" s="124"/>
      <c r="J93" s="123">
        <f t="shared" si="2"/>
        <v>0</v>
      </c>
    </row>
    <row r="94" spans="1:10">
      <c r="A94" s="127" t="s">
        <v>310</v>
      </c>
      <c r="B94" s="120">
        <v>648</v>
      </c>
      <c r="C94" s="120" t="s">
        <v>364</v>
      </c>
      <c r="D94" s="125">
        <v>2017</v>
      </c>
      <c r="E94" s="124">
        <v>1363252</v>
      </c>
      <c r="F94" s="124"/>
      <c r="G94" s="124"/>
      <c r="H94" s="124"/>
      <c r="I94" s="124">
        <v>1363252</v>
      </c>
      <c r="J94" s="123">
        <f t="shared" si="2"/>
        <v>1363252</v>
      </c>
    </row>
    <row r="95" spans="1:10">
      <c r="A95" s="127" t="s">
        <v>310</v>
      </c>
      <c r="B95" s="120">
        <v>649</v>
      </c>
      <c r="C95" s="120" t="s">
        <v>363</v>
      </c>
      <c r="D95" s="125">
        <v>2017</v>
      </c>
      <c r="E95" s="124">
        <v>2025942</v>
      </c>
      <c r="F95" s="124"/>
      <c r="G95" s="124"/>
      <c r="H95" s="124">
        <v>139000000</v>
      </c>
      <c r="I95" s="124">
        <v>141000000</v>
      </c>
      <c r="J95" s="123">
        <f t="shared" si="2"/>
        <v>2025942</v>
      </c>
    </row>
    <row r="96" spans="1:10">
      <c r="A96" s="127" t="s">
        <v>310</v>
      </c>
      <c r="B96" s="120">
        <v>651</v>
      </c>
      <c r="C96" s="120" t="s">
        <v>362</v>
      </c>
      <c r="D96" s="125">
        <v>2017</v>
      </c>
      <c r="E96" s="124"/>
      <c r="F96" s="124"/>
      <c r="G96" s="124"/>
      <c r="H96" s="124"/>
      <c r="I96" s="124"/>
      <c r="J96" s="123">
        <f t="shared" si="2"/>
        <v>0</v>
      </c>
    </row>
    <row r="97" spans="1:10">
      <c r="A97" s="127" t="s">
        <v>310</v>
      </c>
      <c r="B97" s="120" t="s">
        <v>361</v>
      </c>
      <c r="C97" s="120" t="s">
        <v>360</v>
      </c>
      <c r="D97" s="125">
        <v>2017</v>
      </c>
      <c r="E97" s="124"/>
      <c r="F97" s="124">
        <v>27333830</v>
      </c>
      <c r="G97" s="124"/>
      <c r="H97" s="124"/>
      <c r="I97" s="124">
        <v>27333830</v>
      </c>
      <c r="J97" s="123">
        <f t="shared" si="2"/>
        <v>27333830</v>
      </c>
    </row>
    <row r="98" spans="1:10">
      <c r="A98" s="127" t="s">
        <v>310</v>
      </c>
      <c r="B98" s="120" t="s">
        <v>359</v>
      </c>
      <c r="C98" s="120" t="s">
        <v>358</v>
      </c>
      <c r="D98" s="125">
        <v>2017</v>
      </c>
      <c r="E98" s="124">
        <v>452430.7</v>
      </c>
      <c r="F98" s="124"/>
      <c r="G98" s="124"/>
      <c r="H98" s="124"/>
      <c r="I98" s="124">
        <v>452430.7</v>
      </c>
      <c r="J98" s="123">
        <f t="shared" ref="J98:J122" si="3">E98+F98</f>
        <v>452430.7</v>
      </c>
    </row>
    <row r="99" spans="1:10">
      <c r="A99" s="127" t="s">
        <v>310</v>
      </c>
      <c r="B99" s="120">
        <v>672</v>
      </c>
      <c r="C99" s="120" t="s">
        <v>357</v>
      </c>
      <c r="D99" s="125">
        <v>2017</v>
      </c>
      <c r="E99" s="124">
        <v>15225</v>
      </c>
      <c r="F99" s="124"/>
      <c r="G99" s="124"/>
      <c r="H99" s="124"/>
      <c r="I99" s="124">
        <v>15225</v>
      </c>
      <c r="J99" s="123">
        <f t="shared" si="3"/>
        <v>15225</v>
      </c>
    </row>
    <row r="100" spans="1:10">
      <c r="A100" s="127" t="s">
        <v>310</v>
      </c>
      <c r="B100" s="120" t="s">
        <v>356</v>
      </c>
      <c r="C100" s="120" t="s">
        <v>355</v>
      </c>
      <c r="D100" s="125">
        <v>2017</v>
      </c>
      <c r="E100" s="124"/>
      <c r="F100" s="124">
        <v>1016128</v>
      </c>
      <c r="G100" s="124"/>
      <c r="H100" s="124"/>
      <c r="I100" s="124">
        <v>1016128</v>
      </c>
      <c r="J100" s="123">
        <f t="shared" si="3"/>
        <v>1016128</v>
      </c>
    </row>
    <row r="101" spans="1:10">
      <c r="A101" s="127" t="s">
        <v>310</v>
      </c>
      <c r="B101" s="120" t="s">
        <v>354</v>
      </c>
      <c r="C101" s="120" t="s">
        <v>353</v>
      </c>
      <c r="D101" s="125">
        <v>2017</v>
      </c>
      <c r="E101" s="124">
        <v>1522561</v>
      </c>
      <c r="F101" s="124">
        <v>13829450</v>
      </c>
      <c r="G101" s="124"/>
      <c r="H101" s="124"/>
      <c r="I101" s="124">
        <v>15352010</v>
      </c>
      <c r="J101" s="123">
        <f t="shared" si="3"/>
        <v>15352011</v>
      </c>
    </row>
    <row r="102" spans="1:10">
      <c r="A102" s="127" t="s">
        <v>310</v>
      </c>
      <c r="B102" s="120" t="s">
        <v>352</v>
      </c>
      <c r="C102" s="120" t="s">
        <v>351</v>
      </c>
      <c r="D102" s="125">
        <v>2017</v>
      </c>
      <c r="E102" s="124"/>
      <c r="F102" s="124">
        <v>3067627</v>
      </c>
      <c r="G102" s="124"/>
      <c r="H102" s="124">
        <v>4005846</v>
      </c>
      <c r="I102" s="124">
        <v>7073473</v>
      </c>
      <c r="J102" s="123">
        <f t="shared" si="3"/>
        <v>3067627</v>
      </c>
    </row>
    <row r="103" spans="1:10">
      <c r="A103" s="127" t="s">
        <v>310</v>
      </c>
      <c r="B103" s="120" t="s">
        <v>350</v>
      </c>
      <c r="C103" s="120" t="s">
        <v>349</v>
      </c>
      <c r="D103" s="125">
        <v>2017</v>
      </c>
      <c r="E103" s="124"/>
      <c r="F103" s="124"/>
      <c r="G103" s="124"/>
      <c r="H103" s="124"/>
      <c r="I103" s="124"/>
      <c r="J103" s="123">
        <f t="shared" si="3"/>
        <v>0</v>
      </c>
    </row>
    <row r="104" spans="1:10">
      <c r="A104" s="127" t="s">
        <v>310</v>
      </c>
      <c r="B104" s="120" t="s">
        <v>348</v>
      </c>
      <c r="C104" s="120" t="s">
        <v>347</v>
      </c>
      <c r="D104" s="125">
        <v>2017</v>
      </c>
      <c r="E104" s="124">
        <v>100000</v>
      </c>
      <c r="F104" s="124">
        <v>8430529</v>
      </c>
      <c r="G104" s="124"/>
      <c r="H104" s="124"/>
      <c r="I104" s="124">
        <v>8530529</v>
      </c>
      <c r="J104" s="123">
        <f t="shared" si="3"/>
        <v>8530529</v>
      </c>
    </row>
    <row r="105" spans="1:10">
      <c r="A105" s="127" t="s">
        <v>310</v>
      </c>
      <c r="B105" s="120" t="s">
        <v>346</v>
      </c>
      <c r="C105" s="120" t="s">
        <v>345</v>
      </c>
      <c r="D105" s="125">
        <v>2017</v>
      </c>
      <c r="E105" s="124"/>
      <c r="F105" s="124">
        <v>309192.90000000002</v>
      </c>
      <c r="G105" s="124"/>
      <c r="H105" s="124">
        <v>3244720</v>
      </c>
      <c r="I105" s="124">
        <v>3553913</v>
      </c>
      <c r="J105" s="123">
        <f t="shared" si="3"/>
        <v>309192.90000000002</v>
      </c>
    </row>
    <row r="106" spans="1:10">
      <c r="A106" s="127" t="s">
        <v>310</v>
      </c>
      <c r="B106" s="120" t="s">
        <v>344</v>
      </c>
      <c r="C106" s="120" t="s">
        <v>343</v>
      </c>
      <c r="D106" s="125">
        <v>2017</v>
      </c>
      <c r="E106" s="124">
        <v>7569927</v>
      </c>
      <c r="F106" s="124">
        <v>32830.480000000003</v>
      </c>
      <c r="G106" s="124"/>
      <c r="H106" s="124"/>
      <c r="I106" s="124">
        <v>7602757</v>
      </c>
      <c r="J106" s="123">
        <f t="shared" si="3"/>
        <v>7602757.4800000004</v>
      </c>
    </row>
    <row r="107" spans="1:10">
      <c r="A107" s="127" t="s">
        <v>310</v>
      </c>
      <c r="B107" s="120" t="s">
        <v>342</v>
      </c>
      <c r="C107" s="120" t="s">
        <v>279</v>
      </c>
      <c r="D107" s="125">
        <v>2017</v>
      </c>
      <c r="E107" s="124"/>
      <c r="F107" s="124"/>
      <c r="G107" s="124"/>
      <c r="H107" s="124"/>
      <c r="I107" s="124"/>
      <c r="J107" s="123">
        <f t="shared" si="3"/>
        <v>0</v>
      </c>
    </row>
    <row r="108" spans="1:10">
      <c r="A108" s="127" t="s">
        <v>310</v>
      </c>
      <c r="B108" s="120" t="s">
        <v>341</v>
      </c>
      <c r="C108" s="120" t="s">
        <v>340</v>
      </c>
      <c r="D108" s="125">
        <v>2017</v>
      </c>
      <c r="E108" s="124"/>
      <c r="F108" s="124"/>
      <c r="G108" s="124"/>
      <c r="H108" s="124"/>
      <c r="I108" s="124"/>
      <c r="J108" s="123">
        <f t="shared" si="3"/>
        <v>0</v>
      </c>
    </row>
    <row r="109" spans="1:10">
      <c r="A109" s="127" t="s">
        <v>310</v>
      </c>
      <c r="B109" s="120" t="s">
        <v>339</v>
      </c>
      <c r="C109" s="120" t="s">
        <v>338</v>
      </c>
      <c r="D109" s="125">
        <v>2017</v>
      </c>
      <c r="E109" s="124"/>
      <c r="F109" s="124"/>
      <c r="G109" s="124"/>
      <c r="H109" s="124"/>
      <c r="I109" s="124"/>
      <c r="J109" s="123">
        <f t="shared" si="3"/>
        <v>0</v>
      </c>
    </row>
    <row r="110" spans="1:10">
      <c r="A110" s="127" t="s">
        <v>310</v>
      </c>
      <c r="B110" s="120" t="s">
        <v>337</v>
      </c>
      <c r="C110" s="120" t="s">
        <v>62</v>
      </c>
      <c r="D110" s="125">
        <v>2017</v>
      </c>
      <c r="E110" s="124"/>
      <c r="F110" s="124">
        <v>15455606</v>
      </c>
      <c r="G110" s="124">
        <v>8887981</v>
      </c>
      <c r="H110" s="124">
        <v>55707628</v>
      </c>
      <c r="I110" s="124">
        <v>80051215</v>
      </c>
      <c r="J110" s="123">
        <f t="shared" si="3"/>
        <v>15455606</v>
      </c>
    </row>
    <row r="111" spans="1:10">
      <c r="A111" s="127" t="s">
        <v>310</v>
      </c>
      <c r="B111" s="120" t="s">
        <v>336</v>
      </c>
      <c r="C111" s="120" t="s">
        <v>63</v>
      </c>
      <c r="D111" s="125">
        <v>2017</v>
      </c>
      <c r="E111" s="124"/>
      <c r="F111" s="124">
        <v>13088694</v>
      </c>
      <c r="G111" s="124">
        <v>3436327</v>
      </c>
      <c r="H111" s="124"/>
      <c r="I111" s="124">
        <v>16525021</v>
      </c>
      <c r="J111" s="123">
        <f t="shared" si="3"/>
        <v>13088694</v>
      </c>
    </row>
    <row r="112" spans="1:10">
      <c r="A112" s="127" t="s">
        <v>310</v>
      </c>
      <c r="B112" s="120" t="s">
        <v>335</v>
      </c>
      <c r="C112" s="120" t="s">
        <v>334</v>
      </c>
      <c r="D112" s="125">
        <v>2017</v>
      </c>
      <c r="E112" s="124">
        <v>31575248</v>
      </c>
      <c r="F112" s="124">
        <v>14941135</v>
      </c>
      <c r="G112" s="124">
        <v>4100000</v>
      </c>
      <c r="H112" s="124"/>
      <c r="I112" s="124">
        <v>50616383</v>
      </c>
      <c r="J112" s="123">
        <f t="shared" si="3"/>
        <v>46516383</v>
      </c>
    </row>
    <row r="113" spans="1:10">
      <c r="A113" s="127" t="s">
        <v>310</v>
      </c>
      <c r="C113" s="120" t="s">
        <v>333</v>
      </c>
      <c r="D113" s="125">
        <v>2017</v>
      </c>
      <c r="E113" s="124"/>
      <c r="F113" s="124"/>
      <c r="G113" s="124"/>
      <c r="H113" s="124"/>
      <c r="I113" s="124"/>
      <c r="J113" s="123">
        <f t="shared" si="3"/>
        <v>0</v>
      </c>
    </row>
    <row r="114" spans="1:10">
      <c r="A114" s="127" t="s">
        <v>310</v>
      </c>
      <c r="B114" s="120">
        <v>399</v>
      </c>
      <c r="C114" s="120" t="s">
        <v>332</v>
      </c>
      <c r="D114" s="125">
        <v>2017</v>
      </c>
      <c r="E114" s="124"/>
      <c r="F114" s="124"/>
      <c r="G114" s="124">
        <v>41693740</v>
      </c>
      <c r="H114" s="124">
        <v>416000000</v>
      </c>
      <c r="I114" s="124">
        <v>458000000</v>
      </c>
      <c r="J114" s="123">
        <f t="shared" si="3"/>
        <v>0</v>
      </c>
    </row>
    <row r="115" spans="1:10">
      <c r="A115" s="127" t="s">
        <v>310</v>
      </c>
      <c r="B115" s="120">
        <v>395</v>
      </c>
      <c r="C115" s="120" t="s">
        <v>331</v>
      </c>
      <c r="D115" s="125">
        <v>2017</v>
      </c>
      <c r="E115" s="124"/>
      <c r="F115" s="124"/>
      <c r="G115" s="124"/>
      <c r="H115" s="124"/>
      <c r="I115" s="124"/>
      <c r="J115" s="123">
        <f t="shared" si="3"/>
        <v>0</v>
      </c>
    </row>
    <row r="116" spans="1:10">
      <c r="A116" s="127" t="s">
        <v>310</v>
      </c>
      <c r="B116" s="120">
        <v>365</v>
      </c>
      <c r="C116" s="120" t="s">
        <v>1</v>
      </c>
      <c r="D116" s="125">
        <v>2017</v>
      </c>
      <c r="E116" s="124">
        <v>980017</v>
      </c>
      <c r="F116" s="124">
        <v>945708</v>
      </c>
      <c r="G116" s="124"/>
      <c r="H116" s="124"/>
      <c r="I116" s="124">
        <v>1925725</v>
      </c>
      <c r="J116" s="123">
        <f t="shared" si="3"/>
        <v>1925725</v>
      </c>
    </row>
    <row r="117" spans="1:10">
      <c r="A117" s="127" t="s">
        <v>310</v>
      </c>
      <c r="B117" s="126">
        <v>0.94818652849740936</v>
      </c>
      <c r="C117" s="120" t="s">
        <v>32</v>
      </c>
      <c r="D117" s="125">
        <v>2017</v>
      </c>
      <c r="E117" s="124"/>
      <c r="F117" s="124">
        <v>47047415</v>
      </c>
      <c r="G117" s="124">
        <v>7191825</v>
      </c>
      <c r="H117" s="124">
        <v>56750465</v>
      </c>
      <c r="I117" s="124">
        <v>111000000</v>
      </c>
      <c r="J117" s="123">
        <f t="shared" si="3"/>
        <v>47047415</v>
      </c>
    </row>
    <row r="118" spans="1:10">
      <c r="A118" s="127" t="s">
        <v>310</v>
      </c>
      <c r="B118" s="120">
        <v>367</v>
      </c>
      <c r="C118" s="120" t="s">
        <v>20</v>
      </c>
      <c r="D118" s="125">
        <v>2017</v>
      </c>
      <c r="E118" s="124">
        <v>26013929</v>
      </c>
      <c r="F118" s="124">
        <v>1851386</v>
      </c>
      <c r="G118" s="124"/>
      <c r="H118" s="124"/>
      <c r="I118" s="124">
        <v>27865315</v>
      </c>
      <c r="J118" s="123">
        <f t="shared" si="3"/>
        <v>27865315</v>
      </c>
    </row>
    <row r="119" spans="1:10">
      <c r="A119" s="127" t="s">
        <v>310</v>
      </c>
      <c r="C119" s="120" t="s">
        <v>330</v>
      </c>
      <c r="D119" s="125">
        <v>2017</v>
      </c>
      <c r="E119" s="124">
        <v>69563355</v>
      </c>
      <c r="F119" s="124">
        <v>52806092</v>
      </c>
      <c r="G119" s="124">
        <v>104000000</v>
      </c>
      <c r="H119" s="124">
        <v>503000000</v>
      </c>
      <c r="I119" s="124">
        <v>729000000</v>
      </c>
      <c r="J119" s="123">
        <f t="shared" si="3"/>
        <v>122369447</v>
      </c>
    </row>
    <row r="120" spans="1:10">
      <c r="A120" s="127" t="s">
        <v>310</v>
      </c>
      <c r="C120" s="120" t="s">
        <v>329</v>
      </c>
      <c r="D120" s="125">
        <v>2017</v>
      </c>
      <c r="E120" s="124">
        <v>84721104</v>
      </c>
      <c r="F120" s="124">
        <v>122000000</v>
      </c>
      <c r="G120" s="124">
        <v>168000000</v>
      </c>
      <c r="H120" s="124">
        <v>742000000</v>
      </c>
      <c r="I120" s="124">
        <v>1120000000</v>
      </c>
      <c r="J120" s="123">
        <f t="shared" si="3"/>
        <v>206721104</v>
      </c>
    </row>
    <row r="121" spans="1:10">
      <c r="A121" s="127" t="s">
        <v>310</v>
      </c>
      <c r="B121" s="120">
        <v>368</v>
      </c>
      <c r="C121" s="120" t="s">
        <v>25</v>
      </c>
      <c r="D121" s="125">
        <v>2017</v>
      </c>
      <c r="E121" s="124"/>
      <c r="F121" s="124">
        <v>2961583</v>
      </c>
      <c r="G121" s="124"/>
      <c r="H121" s="124"/>
      <c r="I121" s="124">
        <v>2961583</v>
      </c>
      <c r="J121" s="123">
        <f t="shared" si="3"/>
        <v>2961583</v>
      </c>
    </row>
    <row r="122" spans="1:10">
      <c r="A122" s="127" t="s">
        <v>310</v>
      </c>
      <c r="B122" s="126">
        <v>0.95348837209302328</v>
      </c>
      <c r="C122" s="120" t="s">
        <v>328</v>
      </c>
      <c r="D122" s="125">
        <v>2017</v>
      </c>
      <c r="E122" s="124">
        <v>42569409</v>
      </c>
      <c r="F122" s="124"/>
      <c r="G122" s="124">
        <v>55499132</v>
      </c>
      <c r="H122" s="124">
        <v>29733489</v>
      </c>
      <c r="I122" s="124">
        <v>128000000</v>
      </c>
      <c r="J122" s="123">
        <f t="shared" si="3"/>
        <v>42569409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="85" workbookViewId="0">
      <selection activeCell="R19" sqref="R19"/>
    </sheetView>
  </sheetViews>
  <sheetFormatPr defaultColWidth="13" defaultRowHeight="15" customHeight="1"/>
  <cols>
    <col min="1" max="1" width="13" style="67" customWidth="1"/>
    <col min="2" max="5" width="13.6640625" style="67" customWidth="1"/>
    <col min="6" max="6" width="31.109375" style="67" customWidth="1"/>
    <col min="7" max="7" width="13.6640625" style="67" customWidth="1"/>
    <col min="8" max="8" width="13.6640625" style="67" bestFit="1" customWidth="1"/>
    <col min="9" max="9" width="9.6640625" style="67" customWidth="1"/>
    <col min="10" max="10" width="7.109375" style="67" customWidth="1"/>
    <col min="11" max="16384" width="13" style="67"/>
  </cols>
  <sheetData>
    <row r="1" spans="1:10" ht="17.25" customHeight="1">
      <c r="A1" s="66" t="str">
        <f>CONCATENATE("CITIZEN'S GUIDE TO LOCAL UNIT FINANCES - ",'Data Input'!C2," (",'Data Input'!C3,")")</f>
        <v>CITIZEN'S GUIDE TO LOCAL UNIT FINANCES - Kent County (410000)</v>
      </c>
      <c r="E1" s="68"/>
      <c r="J1" s="91" t="s">
        <v>34</v>
      </c>
    </row>
    <row r="2" spans="1:10" ht="15" customHeight="1">
      <c r="A2" s="67" t="s">
        <v>31</v>
      </c>
      <c r="F2" s="83" t="s">
        <v>16</v>
      </c>
      <c r="G2" s="83"/>
      <c r="H2" s="83"/>
      <c r="I2" s="83"/>
      <c r="J2" s="83"/>
    </row>
    <row r="3" spans="1:10" ht="34.5" customHeight="1" thickBot="1">
      <c r="F3" s="79" t="s">
        <v>53</v>
      </c>
      <c r="G3" s="80">
        <f>+'Data Input'!G5</f>
        <v>2015</v>
      </c>
      <c r="H3" s="80">
        <f>+'Data Input'!J5</f>
        <v>2016</v>
      </c>
      <c r="I3" s="80" t="s">
        <v>30</v>
      </c>
      <c r="J3" s="81"/>
    </row>
    <row r="4" spans="1:10" ht="15" customHeight="1">
      <c r="F4" s="97" t="str">
        <f>'Data Input'!B10</f>
        <v>Taxes</v>
      </c>
      <c r="G4" s="70">
        <f>+'Data Input'!G10</f>
        <v>121181802</v>
      </c>
      <c r="H4" s="70">
        <f>+'Data Input'!H10</f>
        <v>125036674.05999999</v>
      </c>
      <c r="I4" s="71">
        <f t="shared" ref="I4:I12" si="0">IF(G4=0,"N/A",(H4-G4)/G4)</f>
        <v>3.1810651404573002E-2</v>
      </c>
    </row>
    <row r="5" spans="1:10" ht="15" customHeight="1">
      <c r="F5" s="98" t="str">
        <f>'Data Input'!B11</f>
        <v>Licenses &amp; Permits</v>
      </c>
      <c r="G5" s="74">
        <f>+'Data Input'!G11</f>
        <v>2492524</v>
      </c>
      <c r="H5" s="74">
        <f>+'Data Input'!H11</f>
        <v>851232.9</v>
      </c>
      <c r="I5" s="75">
        <f t="shared" si="0"/>
        <v>-0.65848557526427032</v>
      </c>
    </row>
    <row r="6" spans="1:10" ht="15" customHeight="1">
      <c r="F6" s="98" t="str">
        <f>'Data Input'!B12</f>
        <v>Federal Government</v>
      </c>
      <c r="G6" s="74">
        <f>+'Data Input'!G12</f>
        <v>18879722</v>
      </c>
      <c r="H6" s="74">
        <f>+'Data Input'!H12</f>
        <v>15783216.609999999</v>
      </c>
      <c r="I6" s="75">
        <f t="shared" si="0"/>
        <v>-0.16401223439624801</v>
      </c>
    </row>
    <row r="7" spans="1:10" ht="15" customHeight="1">
      <c r="F7" s="98" t="str">
        <f>'Data Input'!B13</f>
        <v>State Government</v>
      </c>
      <c r="G7" s="74">
        <f>+'Data Input'!G13</f>
        <v>49040850</v>
      </c>
      <c r="H7" s="74">
        <f>+'Data Input'!H13</f>
        <v>48440709.759999998</v>
      </c>
      <c r="I7" s="75">
        <f t="shared" si="0"/>
        <v>-1.2237557872671499E-2</v>
      </c>
    </row>
    <row r="8" spans="1:10" ht="15" customHeight="1">
      <c r="F8" s="98" t="str">
        <f>'Data Input'!B14</f>
        <v>Local Contributions</v>
      </c>
      <c r="G8" s="74">
        <f>+'Data Input'!G14</f>
        <v>1631933</v>
      </c>
      <c r="H8" s="74">
        <f>+'Data Input'!H14</f>
        <v>0</v>
      </c>
      <c r="I8" s="75">
        <f t="shared" si="0"/>
        <v>-1</v>
      </c>
    </row>
    <row r="9" spans="1:10" ht="15" customHeight="1">
      <c r="F9" s="98" t="str">
        <f>'Data Input'!B15</f>
        <v>Charges for Services</v>
      </c>
      <c r="G9" s="74">
        <f>+'Data Input'!G15</f>
        <v>29972430</v>
      </c>
      <c r="H9" s="74">
        <f>+'Data Input'!H15</f>
        <v>43089982.390000001</v>
      </c>
      <c r="I9" s="75">
        <f t="shared" si="0"/>
        <v>0.4376539503136716</v>
      </c>
    </row>
    <row r="10" spans="1:10" ht="15" customHeight="1">
      <c r="F10" s="98" t="str">
        <f>'Data Input'!B16</f>
        <v>Fines &amp; Forfeitures</v>
      </c>
      <c r="G10" s="74">
        <f>+'Data Input'!G16</f>
        <v>710401</v>
      </c>
      <c r="H10" s="74">
        <f>+'Data Input'!H16</f>
        <v>825447.66</v>
      </c>
      <c r="I10" s="75">
        <f t="shared" si="0"/>
        <v>0.16194608397229174</v>
      </c>
    </row>
    <row r="11" spans="1:10" ht="15" customHeight="1">
      <c r="F11" s="98" t="str">
        <f>'Data Input'!B17</f>
        <v>Interest &amp; Rents</v>
      </c>
      <c r="G11" s="74">
        <f>+'Data Input'!G17</f>
        <v>13897010</v>
      </c>
      <c r="H11" s="74">
        <f>+'Data Input'!H17</f>
        <v>14129248.74</v>
      </c>
      <c r="I11" s="75">
        <f t="shared" si="0"/>
        <v>1.6711417779795814E-2</v>
      </c>
    </row>
    <row r="12" spans="1:10" ht="15" customHeight="1">
      <c r="F12" s="97" t="str">
        <f>'Data Input'!B18</f>
        <v>Other Revenues</v>
      </c>
      <c r="G12" s="67">
        <f>+'Data Input'!G18</f>
        <v>88327769</v>
      </c>
      <c r="H12" s="67">
        <f>+'Data Input'!H18</f>
        <v>88719282.239999995</v>
      </c>
      <c r="I12" s="71">
        <f t="shared" si="0"/>
        <v>4.432504572825729E-3</v>
      </c>
    </row>
    <row r="13" spans="1:10" ht="17.25" customHeight="1" thickBot="1">
      <c r="F13" s="82" t="s">
        <v>52</v>
      </c>
      <c r="G13" s="76">
        <f>SUM(G4:G12)</f>
        <v>326134441</v>
      </c>
      <c r="H13" s="76">
        <f>SUM(H4:H12)</f>
        <v>336875794.35999995</v>
      </c>
      <c r="I13" s="77">
        <f>IF(G13=0,"N/A",(H13-G13)/G13)</f>
        <v>3.2935354288448043E-2</v>
      </c>
    </row>
    <row r="14" spans="1:10" ht="17.25" customHeight="1" thickTop="1">
      <c r="I14" s="72"/>
    </row>
    <row r="18" spans="1:6" ht="15" customHeight="1">
      <c r="A18" s="67" t="s">
        <v>27</v>
      </c>
      <c r="F18" s="67" t="s">
        <v>18</v>
      </c>
    </row>
    <row r="38" spans="1:12" ht="15" customHeight="1">
      <c r="A38" s="135" t="s">
        <v>17</v>
      </c>
      <c r="B38" s="136"/>
      <c r="C38" s="136"/>
      <c r="D38" s="136"/>
      <c r="E38" s="136"/>
      <c r="F38" s="136"/>
      <c r="G38" s="136"/>
      <c r="H38" s="136"/>
      <c r="I38" s="136"/>
      <c r="J38" s="137"/>
      <c r="K38" s="73"/>
      <c r="L38" s="73"/>
    </row>
    <row r="39" spans="1:12" ht="15" customHeight="1">
      <c r="A39" s="138"/>
      <c r="B39" s="139"/>
      <c r="C39" s="139"/>
      <c r="D39" s="139"/>
      <c r="E39" s="139"/>
      <c r="F39" s="139"/>
      <c r="G39" s="139"/>
      <c r="H39" s="139"/>
      <c r="I39" s="139"/>
      <c r="J39" s="140"/>
      <c r="K39" s="73"/>
      <c r="L39" s="73"/>
    </row>
    <row r="40" spans="1:12" ht="15" customHeight="1">
      <c r="A40" s="141"/>
      <c r="B40" s="142"/>
      <c r="C40" s="142"/>
      <c r="D40" s="142"/>
      <c r="E40" s="142"/>
      <c r="F40" s="142"/>
      <c r="G40" s="142"/>
      <c r="H40" s="142"/>
      <c r="I40" s="142"/>
      <c r="J40" s="143"/>
      <c r="K40" s="73"/>
      <c r="L40" s="73"/>
    </row>
    <row r="41" spans="1:12" ht="15" customHeight="1">
      <c r="A41" s="67" t="str">
        <f>CONCATENATE("For more information on our unit's finances, contact ",'Data Input'!$C$78," at ",'Data Input'!$C$79,".")</f>
        <v>For more information on our unit's finances, contact Fiscal Services at 616.632.7670.</v>
      </c>
    </row>
  </sheetData>
  <sheetProtection algorithmName="SHA-512" hashValue="HTE7RbITtpq0BJTRu4SH9jtxuLEunT7PW+nrHFTGytDFdRfHG/KOCvNpsDXlLHLDULYxQp5kTaxA4uOl5l+X+g==" saltValue="OithR9CoTPE/VyR+rJ5kfA==" spinCount="100000" sheet="1" objects="1" scenarios="1" selectLockedCells="1"/>
  <mergeCells count="1">
    <mergeCell ref="A38:J40"/>
  </mergeCells>
  <printOptions horizontalCentered="1"/>
  <pageMargins left="0.2" right="0.2" top="0.5" bottom="0.5" header="0.3" footer="0.3"/>
  <pageSetup scale="8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4" name="Drop Down 18">
              <controlPr defaultSize="0" autoLine="0" autoPict="0">
                <anchor moveWithCells="1">
                  <from>
                    <xdr:col>7</xdr:col>
                    <xdr:colOff>114300</xdr:colOff>
                    <xdr:row>18</xdr:row>
                    <xdr:rowOff>68580</xdr:rowOff>
                  </from>
                  <to>
                    <xdr:col>9</xdr:col>
                    <xdr:colOff>350520</xdr:colOff>
                    <xdr:row>19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4" zoomScale="85" zoomScaleNormal="85" workbookViewId="0">
      <selection activeCell="R19" sqref="R19"/>
    </sheetView>
  </sheetViews>
  <sheetFormatPr defaultColWidth="13" defaultRowHeight="15" customHeight="1"/>
  <cols>
    <col min="1" max="1" width="13" style="67" customWidth="1"/>
    <col min="2" max="3" width="13.6640625" style="67" customWidth="1"/>
    <col min="4" max="4" width="13.88671875" style="67" customWidth="1"/>
    <col min="5" max="5" width="13.6640625" style="67" customWidth="1"/>
    <col min="6" max="6" width="31.33203125" style="67" customWidth="1"/>
    <col min="7" max="8" width="13.6640625" style="67" customWidth="1"/>
    <col min="9" max="9" width="9.6640625" style="67" customWidth="1"/>
    <col min="10" max="10" width="7.33203125" style="67" customWidth="1"/>
    <col min="11" max="16384" width="13" style="67"/>
  </cols>
  <sheetData>
    <row r="1" spans="1:10" ht="15" customHeight="1">
      <c r="A1" s="66" t="str">
        <f>CONCATENATE("CITIZEN'S GUIDE TO LOCAL UNIT FINANCES - ",'Data Input'!C2," (",'Data Input'!C3,")")</f>
        <v>CITIZEN'S GUIDE TO LOCAL UNIT FINANCES - Kent County (410000)</v>
      </c>
      <c r="J1" s="91" t="s">
        <v>29</v>
      </c>
    </row>
    <row r="2" spans="1:10" ht="15" customHeight="1">
      <c r="A2" s="67" t="s">
        <v>36</v>
      </c>
      <c r="F2" s="67" t="s">
        <v>16</v>
      </c>
    </row>
    <row r="3" spans="1:10" ht="32.25" customHeight="1" thickBot="1">
      <c r="F3" s="84" t="s">
        <v>5</v>
      </c>
      <c r="G3" s="78">
        <f>+'Data Input'!G5</f>
        <v>2015</v>
      </c>
      <c r="H3" s="78">
        <f>+'Data Input'!H5</f>
        <v>2016</v>
      </c>
      <c r="I3" s="78" t="s">
        <v>30</v>
      </c>
      <c r="J3" s="69"/>
    </row>
    <row r="4" spans="1:10" ht="15" customHeight="1">
      <c r="F4" s="67" t="str">
        <f>'Data Input'!B21</f>
        <v>General Government</v>
      </c>
      <c r="G4" s="85">
        <f>+'Data Input'!G21</f>
        <v>67990349</v>
      </c>
      <c r="H4" s="85">
        <f>+'Data Input'!H21</f>
        <v>73940332.710000008</v>
      </c>
      <c r="I4" s="71">
        <f>IF(G4=0,"N/A",(H4-G4)/G4)</f>
        <v>8.751218073612195E-2</v>
      </c>
    </row>
    <row r="5" spans="1:10" ht="15" customHeight="1">
      <c r="F5" s="74" t="str">
        <f>'Data Input'!B22</f>
        <v>Police &amp; Fire</v>
      </c>
      <c r="G5" s="74">
        <f>+'Data Input'!G22</f>
        <v>67958676</v>
      </c>
      <c r="H5" s="74">
        <f>+'Data Input'!H22</f>
        <v>76219109</v>
      </c>
      <c r="I5" s="75">
        <f t="shared" ref="I5:I14" si="0">IF(G5=0,"N/A",(H5-G5)/G5)</f>
        <v>0.12155082303251465</v>
      </c>
    </row>
    <row r="6" spans="1:10" ht="15" customHeight="1">
      <c r="F6" s="74" t="str">
        <f>'Data Input'!B23</f>
        <v>Other Public Safety</v>
      </c>
      <c r="G6" s="74">
        <f>+'Data Input'!G23</f>
        <v>0</v>
      </c>
      <c r="H6" s="74">
        <f>+'Data Input'!H23</f>
        <v>0</v>
      </c>
      <c r="I6" s="75" t="str">
        <f t="shared" si="0"/>
        <v>N/A</v>
      </c>
    </row>
    <row r="7" spans="1:10" ht="15" customHeight="1">
      <c r="F7" s="74" t="str">
        <f>'Data Input'!B24</f>
        <v xml:space="preserve">Roads </v>
      </c>
      <c r="G7" s="74">
        <f>+'Data Input'!G24</f>
        <v>0</v>
      </c>
      <c r="H7" s="74">
        <f>+'Data Input'!H24</f>
        <v>0</v>
      </c>
      <c r="I7" s="75" t="str">
        <f t="shared" si="0"/>
        <v>N/A</v>
      </c>
    </row>
    <row r="8" spans="1:10" ht="15" customHeight="1">
      <c r="F8" s="74" t="str">
        <f>'Data Input'!B25</f>
        <v>Other Public Works</v>
      </c>
      <c r="G8" s="74">
        <f>+'Data Input'!G25</f>
        <v>0</v>
      </c>
      <c r="H8" s="74">
        <f>+'Data Input'!H25</f>
        <v>0</v>
      </c>
      <c r="I8" s="75" t="str">
        <f t="shared" si="0"/>
        <v>N/A</v>
      </c>
    </row>
    <row r="9" spans="1:10" ht="15" customHeight="1">
      <c r="F9" s="74" t="str">
        <f>'Data Input'!B26</f>
        <v>Health &amp; Welfare</v>
      </c>
      <c r="G9" s="74">
        <f>+'Data Input'!G26</f>
        <v>80981177</v>
      </c>
      <c r="H9" s="74">
        <f>+'Data Input'!H26</f>
        <v>70365923.5</v>
      </c>
      <c r="I9" s="75">
        <f t="shared" si="0"/>
        <v>-0.13108297376314992</v>
      </c>
    </row>
    <row r="10" spans="1:10" ht="15" customHeight="1">
      <c r="F10" s="74" t="str">
        <f>'Data Input'!B27</f>
        <v>Community &amp; Econ Development</v>
      </c>
      <c r="G10" s="74">
        <f>+'Data Input'!G27</f>
        <v>18003748</v>
      </c>
      <c r="H10" s="74">
        <f>+'Data Input'!H27</f>
        <v>11907348.9</v>
      </c>
      <c r="I10" s="75">
        <f t="shared" si="0"/>
        <v>-0.33861833102751715</v>
      </c>
    </row>
    <row r="11" spans="1:10" ht="15" customHeight="1">
      <c r="F11" s="74" t="str">
        <f>'Data Input'!B28</f>
        <v>Recreation &amp; Culture</v>
      </c>
      <c r="G11" s="74">
        <f>+'Data Input'!G28</f>
        <v>1651075</v>
      </c>
      <c r="H11" s="74">
        <f>+'Data Input'!H28</f>
        <v>7602757.4800000004</v>
      </c>
      <c r="I11" s="75">
        <f t="shared" si="0"/>
        <v>3.6047317535545025</v>
      </c>
    </row>
    <row r="12" spans="1:10" ht="15" customHeight="1">
      <c r="F12" s="74" t="str">
        <f>'Data Input'!B29</f>
        <v>Capital Outlay</v>
      </c>
      <c r="G12" s="74">
        <f>+'Data Input'!G29</f>
        <v>13982201</v>
      </c>
      <c r="H12" s="74">
        <f>+'Data Input'!H29</f>
        <v>15455606</v>
      </c>
      <c r="I12" s="75">
        <f t="shared" si="0"/>
        <v>0.1053771863242418</v>
      </c>
    </row>
    <row r="13" spans="1:10" ht="15" customHeight="1">
      <c r="F13" s="74" t="str">
        <f>'Data Input'!B30</f>
        <v>Debt Service</v>
      </c>
      <c r="G13" s="74">
        <f>+'Data Input'!G30</f>
        <v>12616315</v>
      </c>
      <c r="H13" s="74">
        <f>+'Data Input'!H30</f>
        <v>13088694</v>
      </c>
      <c r="I13" s="75">
        <f t="shared" si="0"/>
        <v>3.7441915488001055E-2</v>
      </c>
    </row>
    <row r="14" spans="1:10" ht="14.4">
      <c r="F14" s="67" t="str">
        <f>'Data Input'!B31</f>
        <v>Other Expenditures</v>
      </c>
      <c r="G14" s="67">
        <f>+'Data Input'!G31</f>
        <v>49940296</v>
      </c>
      <c r="H14" s="67">
        <f>+'Data Input'!H31</f>
        <v>46516383</v>
      </c>
      <c r="I14" s="71">
        <f t="shared" si="0"/>
        <v>-6.8560126275583153E-2</v>
      </c>
    </row>
    <row r="15" spans="1:10" thickBot="1">
      <c r="F15" s="86" t="s">
        <v>55</v>
      </c>
      <c r="G15" s="76">
        <f>SUM(G4:G14)</f>
        <v>313123837</v>
      </c>
      <c r="H15" s="76">
        <f>SUM(H4:H14)</f>
        <v>315096154.59000003</v>
      </c>
      <c r="I15" s="77">
        <f>(H15-G15)/G15</f>
        <v>6.2988420456793056E-3</v>
      </c>
    </row>
    <row r="16" spans="1:10" thickTop="1">
      <c r="F16" s="87"/>
    </row>
    <row r="17" spans="1:9" ht="15.75" customHeight="1">
      <c r="F17" s="87"/>
      <c r="G17" s="70"/>
      <c r="H17" s="70"/>
      <c r="I17" s="88"/>
    </row>
    <row r="18" spans="1:9" ht="15" customHeight="1">
      <c r="A18" s="67" t="s">
        <v>42</v>
      </c>
      <c r="F18" s="89" t="s">
        <v>9</v>
      </c>
    </row>
    <row r="38" spans="1:10" ht="15" customHeight="1">
      <c r="A38" s="135" t="s">
        <v>17</v>
      </c>
      <c r="B38" s="136"/>
      <c r="C38" s="136"/>
      <c r="D38" s="136"/>
      <c r="E38" s="136"/>
      <c r="F38" s="136"/>
      <c r="G38" s="136"/>
      <c r="H38" s="136"/>
      <c r="I38" s="136"/>
      <c r="J38" s="137"/>
    </row>
    <row r="39" spans="1:10" ht="15" customHeight="1">
      <c r="A39" s="138"/>
      <c r="B39" s="139"/>
      <c r="C39" s="139"/>
      <c r="D39" s="139"/>
      <c r="E39" s="139"/>
      <c r="F39" s="139"/>
      <c r="G39" s="139"/>
      <c r="H39" s="139"/>
      <c r="I39" s="139"/>
      <c r="J39" s="140"/>
    </row>
    <row r="40" spans="1:10" ht="15" customHeight="1">
      <c r="A40" s="141"/>
      <c r="B40" s="142"/>
      <c r="C40" s="142"/>
      <c r="D40" s="142"/>
      <c r="E40" s="142"/>
      <c r="F40" s="142"/>
      <c r="G40" s="142"/>
      <c r="H40" s="142"/>
      <c r="I40" s="142"/>
      <c r="J40" s="143"/>
    </row>
    <row r="41" spans="1:10" ht="15" customHeight="1">
      <c r="A41" s="67" t="str">
        <f>CONCATENATE("For more information on our unit's finances, contact ",'Data Input'!$C$78," at ",'Data Input'!$C$79,".")</f>
        <v>For more information on our unit's finances, contact Fiscal Services at 616.632.7670.</v>
      </c>
    </row>
  </sheetData>
  <sheetProtection algorithmName="SHA-512" hashValue="3rLbjlIIaa/TXXtY7KXwK1IoReCOLE4IbzPlpVueuVnd+lW9FyphKJSNFAry87iKMOI4PQsPTlQNZ3VKm59MIQ==" saltValue="qWjTkRe1LagvMjwSK8tpHQ==" spinCount="100000" sheet="1" objects="1" scenarios="1" selectLockedCells="1"/>
  <mergeCells count="1">
    <mergeCell ref="A38:J40"/>
  </mergeCells>
  <printOptions horizontalCentered="1"/>
  <pageMargins left="0.2" right="0.2" top="0.5" bottom="0.5" header="0.3" footer="0.3"/>
  <pageSetup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Drop Down 7">
              <controlPr defaultSize="0" autoLine="0" autoPict="0">
                <anchor moveWithCells="1">
                  <from>
                    <xdr:col>7</xdr:col>
                    <xdr:colOff>30480</xdr:colOff>
                    <xdr:row>18</xdr:row>
                    <xdr:rowOff>121920</xdr:rowOff>
                  </from>
                  <to>
                    <xdr:col>9</xdr:col>
                    <xdr:colOff>419100</xdr:colOff>
                    <xdr:row>19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Normal="100" workbookViewId="0">
      <selection activeCell="R19" sqref="R19"/>
    </sheetView>
  </sheetViews>
  <sheetFormatPr defaultColWidth="13" defaultRowHeight="15" customHeight="1"/>
  <cols>
    <col min="1" max="1" width="13" style="67" customWidth="1"/>
    <col min="2" max="5" width="13.6640625" style="67" customWidth="1"/>
    <col min="6" max="6" width="31.33203125" style="67" customWidth="1"/>
    <col min="7" max="8" width="13.6640625" style="67" customWidth="1"/>
    <col min="9" max="9" width="9.6640625" style="67" customWidth="1"/>
    <col min="10" max="10" width="7.33203125" style="67" customWidth="1"/>
    <col min="11" max="16384" width="13" style="67"/>
  </cols>
  <sheetData>
    <row r="1" spans="1:10" ht="15" customHeight="1">
      <c r="A1" s="99" t="str">
        <f>CONCATENATE("CITIZEN'S GUIDE TO LOCAL UNIT FINANCES - ",'Data Input'!C2," (",'Data Input'!C3,")")</f>
        <v>CITIZEN'S GUIDE TO LOCAL UNIT FINANCES - Kent County (410000)</v>
      </c>
      <c r="B1" s="97"/>
      <c r="C1" s="97"/>
      <c r="D1" s="97"/>
      <c r="E1" s="97"/>
      <c r="F1" s="97"/>
      <c r="G1" s="97"/>
      <c r="H1" s="97"/>
      <c r="I1" s="97"/>
      <c r="J1" s="100" t="s">
        <v>39</v>
      </c>
    </row>
    <row r="2" spans="1:10" ht="15" customHeight="1">
      <c r="A2" s="97" t="s">
        <v>7</v>
      </c>
      <c r="B2" s="97"/>
      <c r="C2" s="97"/>
      <c r="D2" s="97"/>
      <c r="E2" s="97"/>
      <c r="F2" s="101" t="s">
        <v>16</v>
      </c>
      <c r="G2" s="101"/>
      <c r="H2" s="101"/>
      <c r="I2" s="101"/>
      <c r="J2" s="101"/>
    </row>
    <row r="3" spans="1:10" ht="34.5" customHeight="1" thickBot="1">
      <c r="A3" s="97"/>
      <c r="B3" s="97"/>
      <c r="C3" s="97"/>
      <c r="D3" s="97"/>
      <c r="E3" s="97"/>
      <c r="F3" s="102" t="s">
        <v>299</v>
      </c>
      <c r="G3" s="103">
        <f>+'Data Input'!G5</f>
        <v>2015</v>
      </c>
      <c r="H3" s="103">
        <f>+'Data Input'!H5</f>
        <v>2016</v>
      </c>
      <c r="I3" s="103" t="s">
        <v>30</v>
      </c>
      <c r="J3" s="97"/>
    </row>
    <row r="4" spans="1:10" ht="15" customHeight="1">
      <c r="A4" s="97"/>
      <c r="B4" s="97"/>
      <c r="C4" s="97"/>
      <c r="D4" s="97"/>
      <c r="E4" s="97"/>
      <c r="F4" s="104" t="s">
        <v>37</v>
      </c>
      <c r="G4" s="104">
        <f>+'Data Input'!G19</f>
        <v>326134441</v>
      </c>
      <c r="H4" s="104">
        <f>+'Data Input'!H19</f>
        <v>336875794.35999995</v>
      </c>
      <c r="I4" s="105">
        <f>IF(G4=0,"N/A",(H4-G4)/G4)</f>
        <v>3.2935354288448043E-2</v>
      </c>
      <c r="J4" s="97"/>
    </row>
    <row r="5" spans="1:10" ht="15" customHeight="1">
      <c r="A5" s="97"/>
      <c r="B5" s="97"/>
      <c r="C5" s="97"/>
      <c r="D5" s="97"/>
      <c r="E5" s="97"/>
      <c r="F5" s="97" t="s">
        <v>5</v>
      </c>
      <c r="G5" s="97">
        <f>+'Data Input'!G32</f>
        <v>313123837</v>
      </c>
      <c r="H5" s="97">
        <f>+'Data Input'!H32</f>
        <v>315096154.59000003</v>
      </c>
      <c r="I5" s="106">
        <f>IF(G5=0,"N/A",(H5-G5)/G5)</f>
        <v>6.2988420456793056E-3</v>
      </c>
      <c r="J5" s="97"/>
    </row>
    <row r="6" spans="1:10" ht="15.75" customHeight="1" thickBot="1">
      <c r="A6" s="97"/>
      <c r="B6" s="97"/>
      <c r="C6" s="97"/>
      <c r="D6" s="97"/>
      <c r="E6" s="97"/>
      <c r="F6" s="107" t="s">
        <v>28</v>
      </c>
      <c r="G6" s="108">
        <f>+'Data Input'!G33</f>
        <v>13010604</v>
      </c>
      <c r="H6" s="108">
        <f>+'Data Input'!H33</f>
        <v>21779639.769999921</v>
      </c>
      <c r="I6" s="109">
        <f>IF(G6=0,"N/A",(H6-G6)/G6)</f>
        <v>0.67399144344105177</v>
      </c>
      <c r="J6" s="97"/>
    </row>
    <row r="7" spans="1:10" ht="15.75" customHeight="1" thickTop="1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t="15" customHeight="1" thickBot="1">
      <c r="A8" s="97"/>
      <c r="B8" s="97"/>
      <c r="C8" s="97"/>
      <c r="D8" s="97"/>
      <c r="E8" s="97"/>
      <c r="F8" s="110" t="s">
        <v>300</v>
      </c>
      <c r="G8" s="103">
        <f>+'Data Input'!G5</f>
        <v>2015</v>
      </c>
      <c r="H8" s="103">
        <f>+'Data Input'!H5</f>
        <v>2016</v>
      </c>
      <c r="I8" s="103" t="s">
        <v>30</v>
      </c>
      <c r="J8" s="97"/>
    </row>
    <row r="9" spans="1:10" ht="15" customHeight="1">
      <c r="A9" s="97"/>
      <c r="B9" s="97"/>
      <c r="C9" s="97"/>
      <c r="D9" s="97"/>
      <c r="E9" s="97"/>
      <c r="F9" s="111" t="s">
        <v>1</v>
      </c>
      <c r="G9" s="98">
        <f>+'Data Input'!G$36</f>
        <v>1298984</v>
      </c>
      <c r="H9" s="98">
        <f>+'Data Input'!H$36</f>
        <v>1925725</v>
      </c>
      <c r="I9" s="112">
        <f t="shared" ref="I9:I14" si="0">IF(G9=0,"N/A",(H9-G9)/G9)</f>
        <v>0.48248554254709836</v>
      </c>
      <c r="J9" s="97"/>
    </row>
    <row r="10" spans="1:10" ht="15" customHeight="1">
      <c r="A10" s="97"/>
      <c r="B10" s="97"/>
      <c r="C10" s="97"/>
      <c r="D10" s="97"/>
      <c r="E10" s="97"/>
      <c r="F10" s="98" t="s">
        <v>32</v>
      </c>
      <c r="G10" s="98">
        <f>+'Data Input'!G37</f>
        <v>12202392</v>
      </c>
      <c r="H10" s="98">
        <f>+'Data Input'!H37</f>
        <v>47047415</v>
      </c>
      <c r="I10" s="112">
        <f t="shared" si="0"/>
        <v>2.8555895434272229</v>
      </c>
      <c r="J10" s="97"/>
    </row>
    <row r="11" spans="1:10" ht="15" customHeight="1">
      <c r="A11" s="97"/>
      <c r="B11" s="97"/>
      <c r="C11" s="97"/>
      <c r="D11" s="97"/>
      <c r="E11" s="97"/>
      <c r="F11" s="98" t="s">
        <v>20</v>
      </c>
      <c r="G11" s="98">
        <f>+'Data Input'!G38</f>
        <v>24916354</v>
      </c>
      <c r="H11" s="98">
        <f>+'Data Input'!H38</f>
        <v>27865315</v>
      </c>
      <c r="I11" s="112">
        <f t="shared" si="0"/>
        <v>0.1183544350028098</v>
      </c>
      <c r="J11" s="97"/>
    </row>
    <row r="12" spans="1:10" ht="15" customHeight="1">
      <c r="A12" s="97"/>
      <c r="B12" s="97"/>
      <c r="C12" s="97"/>
      <c r="D12" s="97"/>
      <c r="E12" s="97"/>
      <c r="F12" s="98" t="s">
        <v>25</v>
      </c>
      <c r="G12" s="98">
        <f>+'Data Input'!G39</f>
        <v>19571880</v>
      </c>
      <c r="H12" s="98">
        <f>+'Data Input'!H39</f>
        <v>2961583</v>
      </c>
      <c r="I12" s="112">
        <f t="shared" si="0"/>
        <v>-0.84868173113671241</v>
      </c>
      <c r="J12" s="97"/>
    </row>
    <row r="13" spans="1:10" ht="15.75" customHeight="1">
      <c r="A13" s="97"/>
      <c r="B13" s="97"/>
      <c r="C13" s="97"/>
      <c r="D13" s="97"/>
      <c r="E13" s="97"/>
      <c r="F13" s="97" t="s">
        <v>11</v>
      </c>
      <c r="G13" s="97">
        <f>+'Data Input'!G40</f>
        <v>43277242</v>
      </c>
      <c r="H13" s="97">
        <f>+'Data Input'!H40</f>
        <v>42569409</v>
      </c>
      <c r="I13" s="106">
        <f t="shared" si="0"/>
        <v>-1.6355778864096747E-2</v>
      </c>
      <c r="J13" s="97"/>
    </row>
    <row r="14" spans="1:10" ht="15.75" customHeight="1" thickBot="1">
      <c r="A14" s="97"/>
      <c r="B14" s="97"/>
      <c r="C14" s="97"/>
      <c r="D14" s="97"/>
      <c r="E14" s="97"/>
      <c r="F14" s="107" t="s">
        <v>66</v>
      </c>
      <c r="G14" s="108">
        <f>SUM(G9:G13)</f>
        <v>101266852</v>
      </c>
      <c r="H14" s="108">
        <f>SUM(H9:H13)</f>
        <v>122369447</v>
      </c>
      <c r="I14" s="109">
        <f t="shared" si="0"/>
        <v>0.2083860076938108</v>
      </c>
      <c r="J14" s="97"/>
    </row>
    <row r="15" spans="1:10" ht="15" customHeight="1" thickTop="1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ht="1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1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ht="15" customHeight="1">
      <c r="A18" s="97" t="s">
        <v>43</v>
      </c>
      <c r="B18" s="97"/>
      <c r="C18" s="97"/>
      <c r="D18" s="97"/>
      <c r="E18" s="97"/>
      <c r="F18" s="97" t="s">
        <v>8</v>
      </c>
      <c r="G18" s="97"/>
      <c r="H18" s="97"/>
      <c r="I18" s="97"/>
      <c r="J18" s="97"/>
    </row>
    <row r="19" spans="1:10" ht="1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0" spans="1:10" ht="1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</row>
    <row r="21" spans="1:10" ht="1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</row>
    <row r="22" spans="1:10" ht="1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ht="1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ht="1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ht="1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ht="1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ht="1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ht="1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ht="1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</row>
    <row r="30" spans="1:10" ht="1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</row>
    <row r="31" spans="1:10" ht="1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1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</row>
    <row r="33" spans="1:16" ht="1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</row>
    <row r="34" spans="1:16" ht="1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</row>
    <row r="35" spans="1:16" ht="1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</row>
    <row r="36" spans="1:16" ht="1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</row>
    <row r="37" spans="1:16" ht="1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</row>
    <row r="38" spans="1:16" ht="19.95" customHeight="1">
      <c r="A38" s="144" t="s">
        <v>17</v>
      </c>
      <c r="B38" s="145"/>
      <c r="C38" s="145"/>
      <c r="D38" s="145"/>
      <c r="E38" s="145"/>
      <c r="F38" s="145"/>
      <c r="G38" s="145"/>
      <c r="H38" s="145"/>
      <c r="I38" s="145"/>
      <c r="J38" s="146"/>
      <c r="K38" s="92"/>
      <c r="L38" s="92"/>
      <c r="M38" s="92"/>
      <c r="N38" s="92"/>
      <c r="O38" s="92"/>
      <c r="P38" s="92"/>
    </row>
    <row r="39" spans="1:16" ht="19.95" customHeight="1">
      <c r="A39" s="147"/>
      <c r="B39" s="148"/>
      <c r="C39" s="148"/>
      <c r="D39" s="148"/>
      <c r="E39" s="148"/>
      <c r="F39" s="148"/>
      <c r="G39" s="148"/>
      <c r="H39" s="148"/>
      <c r="I39" s="148"/>
      <c r="J39" s="149"/>
      <c r="K39" s="92"/>
      <c r="L39" s="92"/>
      <c r="M39" s="92"/>
      <c r="N39" s="92"/>
      <c r="O39" s="92"/>
      <c r="P39" s="92"/>
    </row>
    <row r="40" spans="1:16" ht="19.95" customHeight="1">
      <c r="A40" s="150"/>
      <c r="B40" s="151"/>
      <c r="C40" s="151"/>
      <c r="D40" s="151"/>
      <c r="E40" s="151"/>
      <c r="F40" s="151"/>
      <c r="G40" s="151"/>
      <c r="H40" s="151"/>
      <c r="I40" s="151"/>
      <c r="J40" s="152"/>
      <c r="K40" s="92"/>
      <c r="L40" s="92"/>
      <c r="M40" s="92"/>
      <c r="N40" s="92"/>
      <c r="O40" s="92"/>
      <c r="P40" s="92"/>
    </row>
    <row r="41" spans="1:16" ht="15" customHeight="1">
      <c r="A41" s="97" t="str">
        <f>CONCATENATE("For more information on our unit's finances, contact ",'Data Input'!$C$78," at ",'Data Input'!$C$79,".")</f>
        <v>For more information on our unit's finances, contact Fiscal Services at 616.632.7670.</v>
      </c>
      <c r="B41" s="97"/>
      <c r="C41" s="97"/>
      <c r="D41" s="97"/>
      <c r="E41" s="97"/>
      <c r="F41" s="97"/>
      <c r="G41" s="97"/>
      <c r="H41" s="97"/>
      <c r="I41" s="97"/>
      <c r="J41" s="97"/>
    </row>
  </sheetData>
  <sheetProtection algorithmName="SHA-512" hashValue="k7mlg5h6vkLYDHWvtJjXapBBGG6kR5XZvHHlX5uZQx0VSIcyRy6AVyW7Dx6SD5RJxnxDkYrIM9xuve2EFk29yw==" saltValue="RDRXkUHbB1z9sbwtRpLLEw==" spinCount="100000" sheet="1" objects="1" scenarios="1" selectLockedCells="1"/>
  <mergeCells count="1">
    <mergeCell ref="A38:J40"/>
  </mergeCells>
  <printOptions horizontalCentered="1"/>
  <pageMargins left="0.2" right="0.2" top="0.5" bottom="0.5" header="0.3" footer="0.3"/>
  <pageSetup scale="8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zoomScaleNormal="100" workbookViewId="0">
      <selection activeCell="Q26" sqref="Q26"/>
    </sheetView>
  </sheetViews>
  <sheetFormatPr defaultColWidth="9" defaultRowHeight="15" customHeight="1"/>
  <cols>
    <col min="1" max="1" width="9.109375" style="67" customWidth="1"/>
    <col min="2" max="15" width="9" style="67" customWidth="1"/>
    <col min="16" max="16" width="15" style="67" customWidth="1"/>
    <col min="17" max="16384" width="9" style="67"/>
  </cols>
  <sheetData>
    <row r="1" spans="1:16" ht="16.5" customHeight="1">
      <c r="A1" s="66" t="str">
        <f>CONCATENATE("CITIZEN'S GUIDE TO LOCAL UNIT FINANCES - ",'Data Input'!C2," (",'Data Input'!C3,")")</f>
        <v>CITIZEN'S GUIDE TO LOCAL UNIT FINANCES - Kent County (410000)</v>
      </c>
      <c r="P1" s="91" t="s">
        <v>6</v>
      </c>
    </row>
    <row r="2" spans="1:16" ht="16.5" customHeight="1">
      <c r="A2" s="67" t="s">
        <v>3</v>
      </c>
      <c r="F2" s="87" t="s">
        <v>22</v>
      </c>
      <c r="K2" s="115" t="s">
        <v>24</v>
      </c>
    </row>
    <row r="3" spans="1:16" ht="16.5" customHeight="1"/>
    <row r="4" spans="1:16" ht="16.5" customHeight="1"/>
    <row r="5" spans="1:16" ht="16.5" customHeight="1"/>
    <row r="6" spans="1:16" ht="16.5" customHeight="1"/>
    <row r="7" spans="1:16" ht="16.5" customHeight="1"/>
    <row r="8" spans="1:16" ht="16.5" customHeight="1"/>
    <row r="9" spans="1:16" ht="16.5" customHeight="1"/>
    <row r="10" spans="1:16" ht="16.5" customHeight="1"/>
    <row r="11" spans="1:16" ht="16.5" customHeight="1"/>
    <row r="12" spans="1:16" ht="16.5" customHeight="1"/>
    <row r="13" spans="1:16" ht="16.5" customHeight="1"/>
    <row r="14" spans="1:16" ht="16.5" customHeight="1"/>
    <row r="15" spans="1:16" ht="16.5" customHeight="1">
      <c r="F15" s="116"/>
    </row>
    <row r="16" spans="1:16" ht="16.5" customHeight="1">
      <c r="F16" s="116"/>
      <c r="J16" s="117"/>
    </row>
    <row r="17" spans="1:9" ht="16.5" customHeight="1"/>
    <row r="18" spans="1:9" ht="16.5" customHeight="1">
      <c r="A18" s="67" t="s">
        <v>301</v>
      </c>
      <c r="I18" s="118" t="s">
        <v>67</v>
      </c>
    </row>
    <row r="19" spans="1:9" ht="16.5" customHeight="1"/>
    <row r="20" spans="1:9" ht="16.5" customHeight="1"/>
    <row r="21" spans="1:9" ht="16.5" customHeight="1"/>
    <row r="22" spans="1:9" ht="16.5" customHeight="1"/>
    <row r="23" spans="1:9" ht="16.5" customHeight="1"/>
    <row r="24" spans="1:9" ht="16.5" customHeight="1"/>
    <row r="25" spans="1:9" ht="16.5" customHeight="1"/>
    <row r="26" spans="1:9" ht="16.5" customHeight="1"/>
    <row r="27" spans="1:9" ht="16.5" customHeight="1"/>
    <row r="28" spans="1:9" ht="16.5" customHeight="1"/>
    <row r="29" spans="1:9" ht="16.5" customHeight="1"/>
    <row r="30" spans="1:9" ht="16.5" customHeight="1"/>
    <row r="31" spans="1:9" ht="16.5" customHeight="1"/>
    <row r="32" spans="1:9" ht="16.5" customHeight="1"/>
    <row r="33" spans="1:16" ht="16.5" customHeight="1"/>
    <row r="34" spans="1:16" ht="16.5" customHeight="1"/>
    <row r="35" spans="1:16" ht="23.4" customHeight="1">
      <c r="A35" s="153" t="s">
        <v>479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7"/>
    </row>
    <row r="36" spans="1:16" ht="23.4" customHeight="1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40"/>
    </row>
    <row r="37" spans="1:16" ht="23.4" customHeight="1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3"/>
    </row>
    <row r="38" spans="1:16" ht="15" customHeight="1">
      <c r="A38" s="67" t="str">
        <f>CONCATENATE("For more information on our unit's finances, contact ",'Data Input'!$C$78," at ",'Data Input'!$C$79,".")</f>
        <v>For more information on our unit's finances, contact Fiscal Services at 616.632.7670.</v>
      </c>
    </row>
  </sheetData>
  <sheetProtection selectLockedCells="1"/>
  <mergeCells count="1">
    <mergeCell ref="A35:P37"/>
  </mergeCells>
  <printOptions horizontalCentered="1"/>
  <pageMargins left="0.25" right="0.25" top="0.5" bottom="0.5" header="0.3" footer="0.3"/>
  <pageSetup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Instructions</vt:lpstr>
      <vt:lpstr>Data Input</vt:lpstr>
      <vt:lpstr>F-65 Cross-walk</vt:lpstr>
      <vt:lpstr>F-65 Extract</vt:lpstr>
      <vt:lpstr>Revenues</vt:lpstr>
      <vt:lpstr>Expenditures</vt:lpstr>
      <vt:lpstr>Position</vt:lpstr>
      <vt:lpstr>Obligations</vt:lpstr>
      <vt:lpstr>Instructions!Citizens_Guide_Instructions</vt:lpstr>
      <vt:lpstr>Instructions!OLE_LINK1</vt:lpstr>
      <vt:lpstr>Instructions!OLE_LINK2</vt:lpstr>
      <vt:lpstr>'Data Input'!Print_Area</vt:lpstr>
      <vt:lpstr>Expenditures!Print_Area</vt:lpstr>
      <vt:lpstr>'F-65 Cross-walk'!Print_Area</vt:lpstr>
      <vt:lpstr>Instructions!Print_Area</vt:lpstr>
      <vt:lpstr>Obligations!Print_Area</vt:lpstr>
      <vt:lpstr>Position!Print_Area</vt:lpstr>
      <vt:lpstr>Revenues!Print_Area</vt:lpstr>
      <vt:lpstr>'Data Input'!Print_Titles</vt:lpstr>
      <vt:lpstr>'F-65 Cross-walk'!Print_Titles</vt:lpstr>
      <vt:lpstr>Instructions!Print_Titles</vt:lpstr>
    </vt:vector>
  </TitlesOfParts>
  <Company>Plante &amp; Moran,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Joe.Heffernan</dc:creator>
  <cp:lastModifiedBy>Vannortwick,Marvin</cp:lastModifiedBy>
  <cp:lastPrinted>2017-10-25T14:07:55Z</cp:lastPrinted>
  <dcterms:created xsi:type="dcterms:W3CDTF">2011-01-04T15:16:36Z</dcterms:created>
  <dcterms:modified xsi:type="dcterms:W3CDTF">2017-11-09T16:43:28Z</dcterms:modified>
</cp:coreProperties>
</file>